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7995" activeTab="0"/>
  </bookViews>
  <sheets>
    <sheet name="PB lam tron" sheetId="1" r:id="rId1"/>
    <sheet name="Sheet3" sheetId="2" r:id="rId2"/>
  </sheets>
  <definedNames/>
  <calcPr fullCalcOnLoad="1"/>
</workbook>
</file>

<file path=xl/sharedStrings.xml><?xml version="1.0" encoding="utf-8"?>
<sst xmlns="http://schemas.openxmlformats.org/spreadsheetml/2006/main" count="259" uniqueCount="169">
  <si>
    <t>STT</t>
  </si>
  <si>
    <t>Tên nhiệm vụ</t>
  </si>
  <si>
    <t>Cá nhân chủ trì</t>
  </si>
  <si>
    <t>Thời gian</t>
  </si>
  <si>
    <t>Ghi chú</t>
  </si>
  <si>
    <t>Bắt đầu</t>
  </si>
  <si>
    <t>Kết thúc</t>
  </si>
  <si>
    <t>A</t>
  </si>
  <si>
    <t>NHIỆM VỤ KHOA HỌC VÀ CÔNG NGHỆ CẤP NHÀ NƯỚC</t>
  </si>
  <si>
    <t>I</t>
  </si>
  <si>
    <t>1.</t>
  </si>
  <si>
    <t>ĐTĐL.2010T/19: Nghiên cứu chuyển gen vào dòng cây vô phối tạo cam, quýt không hạt</t>
  </si>
  <si>
    <t>TS. Đoàn Văn Lư</t>
  </si>
  <si>
    <t>ĐTĐL.2012-T/14: Nghiên cứu chọn tạo giống lúa lai hai dòng có năng suất cao, chất lượng tốt và có mùi thơm</t>
  </si>
  <si>
    <t>TS. Trần Văn Quang</t>
  </si>
  <si>
    <t>KS. Tống Văn Hải</t>
  </si>
  <si>
    <t>II</t>
  </si>
  <si>
    <t>Nhiệm vụ Nghị định thư chuyển tiếp</t>
  </si>
  <si>
    <t>8 - 05J: Nghiên cứu ứng dụng kỹ thuật thị giác máy tính vào tự động hóa phun thuốc bảo vệ thực vật</t>
  </si>
  <si>
    <t>PGS.TS Hoàng Đức Liên</t>
  </si>
  <si>
    <t>III</t>
  </si>
  <si>
    <t>Đề tài/dự án thuộc Chương trình trọng điểm cấp Nhà nước</t>
  </si>
  <si>
    <t>III.1</t>
  </si>
  <si>
    <t>Đề tài thuộc Chương trình công nghệ sinh học nông nghiệp, thủy sản</t>
  </si>
  <si>
    <t>Nghiên cứu chọn tạo giống khoai tây kháng bệnh virus và bệnh mốc sương bằng phương pháp công nghệ sinh học</t>
  </si>
  <si>
    <t>GS.TS Nguyễn Quang Thạch</t>
  </si>
  <si>
    <t>Nghiên cứu chọn tạo giống lúa nếp kháng bệnh bạc lá bằng chỉ thị phân tử cho các tỉnh phía Bắc</t>
  </si>
  <si>
    <t>TS. Nguyễn Văn Giang</t>
  </si>
  <si>
    <t>Nghiên cứu chọn tạo giống cà chua chín chậm và kháng virus xoăn vàng lá bằng chỉ thị phân tử</t>
  </si>
  <si>
    <t>TS. Nguyễn Đức Bách</t>
  </si>
  <si>
    <t>III.2</t>
  </si>
  <si>
    <t xml:space="preserve">Dự án sản xuất thử nghiệm </t>
  </si>
  <si>
    <t>Sản xuất thử các giống cẩm chướng (Hồng Ngọc, Hồng Hạc) và hoa cúc (VCM2, VCM3) được tạo ra bằng đột biến invitro</t>
  </si>
  <si>
    <t>PGS.TS Nguyễn Thị Lý Anh</t>
  </si>
  <si>
    <t>B</t>
  </si>
  <si>
    <t>NHIỆM VỤ KHOA HỌC VÀ CÔNG NGHỆ CẤP BỘ</t>
  </si>
  <si>
    <t>Nhiệm vụ quỹ gen cấp Bộ</t>
  </si>
  <si>
    <t>Lưu giữ và đánh giá tập đoàn gen lúa đã thu thập được đến năm 2012</t>
  </si>
  <si>
    <t>PGS.TS. Phan Hữu Tôn</t>
  </si>
  <si>
    <t>Lưu giữ và đánh giá nguồn gen địa phương phục vụ chọn tạo giống ngô năng suất cao, chất lượng tốt, chống chịu điều kiện bất thuận và sâu bệnh cho điều kiện miền Bắc Việt Nam</t>
  </si>
  <si>
    <t>ThS. Vũ Thị Bích Hạnh</t>
  </si>
  <si>
    <t>Thu thập, lưu giữ và đánh giá nguồn gen cà chua địa phương</t>
  </si>
  <si>
    <t>Thu thập, lưu giữ và đánh giá các chủng virus Lở mồm long móng trong thú y có tiềm năng sản xuất vacxin</t>
  </si>
  <si>
    <t>TS. Phạm Hồng Ngân</t>
  </si>
  <si>
    <t>Đề tài KH&amp;CN cấp Bộ chuyển tiếp năm 2012</t>
  </si>
  <si>
    <t xml:space="preserve">B2012-11-12:Nghiên cứu chế tạo thuốc hàn gốm bằng vật liệu trong nước để hàn kết cấu thép thay thế cho thuốc hàn nhập ngoại. </t>
  </si>
  <si>
    <t>PGS.TS Đào Quang Kế</t>
  </si>
  <si>
    <t xml:space="preserve">B2012-11-13: Nghiên cứu thiết kế, chế tạo liên hợp máy cắt - băm gốc rạ, làm đất tối thiểu và gieo trồng cây đậu nành. </t>
  </si>
  <si>
    <t>TS. Nguyễn Xuân Thiết</t>
  </si>
  <si>
    <t>B2012-11-14: Nghiên cứu thiết kế, chế tạo hệ thống thiết bị sấy phun trong dây chuyền công nghệ sản xuất bột chè  xanh uống liền</t>
  </si>
  <si>
    <t>TS. Nguyễn Thanh Hải</t>
  </si>
  <si>
    <t>B2012-11-15: Nghiên cứu điều khiển sự ra hoa in vitro của hoa lan, hoa hồng và họ cảnh tiên (lá bỏng).</t>
  </si>
  <si>
    <t>B2012-11-16: Đánh giá sự sai khác về mặt di truyền và nhân giống một số giống mướp đắng bản địa Việt Nam.</t>
  </si>
  <si>
    <t>TS. Nguyễn Thị Kim Thanh</t>
  </si>
  <si>
    <t>B2012-11-17: Nghiên cứu thành phần các nòi nấm Pyricularia oryzae ở vùng đồng bằng sông Hồng và biện pháp phòng trừ.</t>
  </si>
  <si>
    <t>PGS.TS Nguyễn Văn Viên</t>
  </si>
  <si>
    <t>B2012-11-18:Nghiên cứu một số công thức lai giữa lợn rừng và lợn địa phương ở các tỉnh miền núi phía Bắc.</t>
  </si>
  <si>
    <t>PGS.TS Phan Xuân Hảo</t>
  </si>
  <si>
    <t>B2012-11-19:Xác định một số đặc điểm dịch tễ học và biện pháp phòng chống bệnh ký sinh trùng đường máu Trypanosoma evansi cho đàn trâu của một số tỉnh miền núi phía Bắc.</t>
  </si>
  <si>
    <t>PGS.TS Phạm Ngọc Thạch</t>
  </si>
  <si>
    <t>B2012-11-20:Phát huy vai trò của cộng đồng  các dân tộc với  xóa đói, giảm nghèo ở miền núi phía Bắc</t>
  </si>
  <si>
    <t>TS. Phạm Bảo Dương</t>
  </si>
  <si>
    <t>B2012-11-21: Nghiên cứu cơ cấu tiêu dùng của thị trường nông thôn đồng bằng Bắc Bộ và giải pháp chiếm lĩnh thị trường cho các doanh nghiệp Việt Nam </t>
  </si>
  <si>
    <t>ThS. Trần Quang Trung</t>
  </si>
  <si>
    <t>B2012-11-22:Nghiên cứu giải pháp kinh tế kỹ thuật giảm thiểu rủi ro thuốc bảo vệ thực vật  trong sản xuất rau ở đồng bằng sông Hồng.</t>
  </si>
  <si>
    <t>TS. Nguyễn Phượng Lê</t>
  </si>
  <si>
    <t>B2012-11-23:Phát triển bền vững chăn nuôi gia súc ở các tỉnh miền núi phía Bắc </t>
  </si>
  <si>
    <t>PGS.TS Quyền Đình Hà</t>
  </si>
  <si>
    <t>Đề tài KH&amp;CN cấp Bộ năm 2013</t>
  </si>
  <si>
    <t xml:space="preserve">Nghiên cứu thực trạng phát triển con người vùng Đông Bắc giai đoạn 1999-2009 </t>
  </si>
  <si>
    <t>TS. Lê Thị Ngân</t>
  </si>
  <si>
    <t>Nghiên cứu ảnh hưởng của các yếu tố nguồn lực (đất đai, lao động, vốn và trình độ đào tạo) đến thu nhập của nông hộ khu vực miền Trung Việt Nam</t>
  </si>
  <si>
    <t>TS. Chu Thị Kim Loan</t>
  </si>
  <si>
    <t>Đánh giá nguồn lực và đề xuất giải pháp phát triển sinh kế bền vững cho đồng bào dân tộc thiểu số tỉnh Quảng Ngãi</t>
  </si>
  <si>
    <t>PGS. TS. Đỗ Văn Viện</t>
  </si>
  <si>
    <t>Nghiên cứu sản xuất kháng huyết thanh virus RYSV (Rice yellow stant virus) chẩn đoán bệnh vàng lụi lúa.</t>
  </si>
  <si>
    <t>TS. Hà Viết Cường</t>
  </si>
  <si>
    <t xml:space="preserve"> Nghiên cứu phát triển các giống lúa nếp cẩm đặc sản, năng suất, chất lượng tốt gieo cấy được 2 vụ trong năm tại các tỉnh miền Bắc Việt Nam.</t>
  </si>
  <si>
    <t>ThS. Nhâm Xuân Tùng</t>
  </si>
  <si>
    <t>Nghiên cứu chọn tạo giống hoa lan huệ (Hippeastrum sp.)</t>
  </si>
  <si>
    <t>TS. Nguyễn Hạnh Hoa</t>
  </si>
  <si>
    <t>Nghiên cứu các giải pháp khoa học và công nghệ hạn chế hư hỏng rau, quả bảo quản ở điều kiện bình thường.</t>
  </si>
  <si>
    <t>TS. Trần Thị Lan Hương</t>
  </si>
  <si>
    <t>Nghiên cứu bọ phấn Aleyrodidae hại  vải thiều và biện pháp phòng trừ.</t>
  </si>
  <si>
    <t>TS. Lê Ngọc Anh</t>
  </si>
  <si>
    <t>Nghiên cứu đặc điểm bệnh lý của lợn bị nhiễm Circovirus và ứng dụng một số kỹ thuật hiện đại trong chẩn đoán bệnh do Circovirus gây ra.</t>
  </si>
  <si>
    <t>TS. Bùi Trần Anh Đào</t>
  </si>
  <si>
    <t>Ứng dụng công nghệ sinh học trong bảo tồn và phát triển loài Lan hài đặc hữu khu vực miền núi phía Bắc có nguy cơ tuyệt chủng</t>
  </si>
  <si>
    <t>TS. Hoàng Thị Nga</t>
  </si>
  <si>
    <t>Nghiên cứu thiết kế, chế tạo máy ấp trứng gia cầm sử dụng phối hợp năng lượng mặt trời và khí sinh học (biogas)</t>
  </si>
  <si>
    <t>PGS. TS. Trần Như Khuyên</t>
  </si>
  <si>
    <t>Nhiệm vụ KH&amp;CN cấp Bộ</t>
  </si>
  <si>
    <t>ThS. Vũ Văn Tuấn</t>
  </si>
  <si>
    <t>Dự án sản xuất thử nghiệm cấp Bộ</t>
  </si>
  <si>
    <t>Dự án chuyển tiếp năm 2012</t>
  </si>
  <si>
    <t>Hoàn thiện qui trình nhân dòng bố mẹ siêu nguyên chủng, nguyên chủng, qui trình sản xuất hạt lai F1 và qui trình thâm canh giống lúa lai thương phẩm TH8-3</t>
  </si>
  <si>
    <t xml:space="preserve">ThS. Vũ Thị Bích Ngọc     </t>
  </si>
  <si>
    <t>B2012-11-07DA: Hoàn thiện qui trình công nghệ sản xuất hạt giống lúa lai hai dòng Việt Lai 50</t>
  </si>
  <si>
    <t>TS. Vũ Hồng Quảng</t>
  </si>
  <si>
    <t>B2012-11-02DA: Hoàn thiện quy trình duy trì bố mẹ, sản xuất hạt lai F1 và thâm canh đu đủ thương phẩm hai giống VNĐĐ9 và VNĐĐ10</t>
  </si>
  <si>
    <t>KS. Phạm Thị Ngọc</t>
  </si>
  <si>
    <t>Hoàn thiện quy trình nhân giống, nuôi trồng lan Dendrobium nobile Lindl. Theo hướng công nghiệp</t>
  </si>
  <si>
    <t>ThS. Vũ Ngọc Lan</t>
  </si>
  <si>
    <t>Dự án thực hiện từ năm 2013</t>
  </si>
  <si>
    <t>Hoàn thiện quy trình công nghệ chế tạo máy kéo xích với công suất 30 mã lực phục vụ sản xuất nông, lâm, ngư nghiệp</t>
  </si>
  <si>
    <t>PGS.TS. Nguyễn Ngọc Quế</t>
  </si>
  <si>
    <t>V</t>
  </si>
  <si>
    <t>Nhiệm vụ hợp tác quốc tế song phương</t>
  </si>
  <si>
    <t>Nghiên cứu trình diễn và khai thác nguồn gen phục vụ chọn tạo một số giống cây trồng mới (lúa, ngô, rau) ở Việt Nam</t>
  </si>
  <si>
    <t>PGS TS Vũ Văn Liết</t>
  </si>
  <si>
    <t>Chọn lọc nhằm bảo tồn bền vững giống gà Hồ</t>
  </si>
  <si>
    <t>PGS.TS Vũ Đình Tôn</t>
  </si>
  <si>
    <t>Sản xuất và đánh giá tác động của dịch chiết thực vật lên hoạt tính men urease</t>
  </si>
  <si>
    <t>PGS.TS. Nguyễn Thị Phương Thảo</t>
  </si>
  <si>
    <t>Nghiên cứu ứng dụng công nghệ sản xuất kháng thể đơn dòng để chẩn đoán đặc hiệu bệnh Ca rê</t>
  </si>
  <si>
    <t>TS. Nguyễn Thị Lan</t>
  </si>
  <si>
    <t>1/2010</t>
  </si>
  <si>
    <t>12/2013</t>
  </si>
  <si>
    <t>1/2012</t>
  </si>
  <si>
    <t>1/2014</t>
  </si>
  <si>
    <t>1/2013</t>
  </si>
  <si>
    <t>12/2015</t>
  </si>
  <si>
    <t>3/2011</t>
  </si>
  <si>
    <t>6/2013</t>
  </si>
  <si>
    <t>1/2011</t>
  </si>
  <si>
    <t>12/2014</t>
  </si>
  <si>
    <t xml:space="preserve"> </t>
  </si>
  <si>
    <t>6/2014</t>
  </si>
  <si>
    <t>2012</t>
  </si>
  <si>
    <t>2013</t>
  </si>
  <si>
    <t>4/2012</t>
  </si>
  <si>
    <t>4/2013</t>
  </si>
  <si>
    <t xml:space="preserve">Biên soạn và giảng dạy thử nghiệm giáo trình môn học Sở hữu trí tuệtrong các trường đại học lĩnh vực nông, lâm, ngư, y và dược </t>
  </si>
  <si>
    <t>C.</t>
  </si>
  <si>
    <t>NHIỆM VỤ KH&amp;CN DO TRƯỜNG PHÂN BỔ</t>
  </si>
  <si>
    <t>Hỗ trợ các đề tài cấp cơ sở</t>
  </si>
  <si>
    <t>Hỗ trợ sinh viên nghiên cứu khoa học</t>
  </si>
  <si>
    <t>Hỗ trợ hội nghị, hội thảo khoa học</t>
  </si>
  <si>
    <t>Hỗ trợ các hoạt động khoa học khác:</t>
  </si>
  <si>
    <t>5.1. Hỗ trợ hoạt động an toàn và bảo hộ lao động, hoạt động sở hữu trí tuệ, thông tin khoa học công nghệ.</t>
  </si>
  <si>
    <t>5.2. Hỗ trợ công tác quản lý hoạt động khoa học và công nghệ (xây dựng, xét duyệt, thẩm định đề tài, dự án các cấp; kiểm tra giữa kỳ đề tài cấp cơ sở).</t>
  </si>
  <si>
    <t>5.3. Kiểm tra, đánh giá giữa kỳ đề tài KH&amp;CN cấp Bộ, cấp Nhà nước</t>
  </si>
  <si>
    <t xml:space="preserve">5.4. Hỗ trợ các hoạt động KH&amp;CN khác (tham gia các hội nghị, hội thảo trong nước; in ấn tài liệu, văn phòng phẩm; quản trị, vận hành, cập nhật dữ liệu và nâng cấp website về KH&amp;CN...).       </t>
  </si>
  <si>
    <t>BỘ GIÁO DỤC VÀ ĐÀO TẠO</t>
  </si>
  <si>
    <t>TRƯỜNG ĐH NÔNG NGHIỆP HÀ NỘI</t>
  </si>
  <si>
    <t>Đề tài, dự án độc lập cấp Nhà nước chuyển tiếp</t>
  </si>
  <si>
    <t>HIỆU TRƯỞNG</t>
  </si>
  <si>
    <t>IV.</t>
  </si>
  <si>
    <t>V.1</t>
  </si>
  <si>
    <t>V.2</t>
  </si>
  <si>
    <t>Hỗ trợ đánh giá, nghiệm thu đề tài/dự án</t>
  </si>
  <si>
    <t>4.1. Hội nghị tổng kết hoạt động KH&amp;CN năm 2012, triển khai nhiệm vụ 2013.</t>
  </si>
  <si>
    <t>4.2. Hội nghị tổng kết hoạt động Viện, trung tâm và công ty 3 năm 2010-2012.</t>
  </si>
  <si>
    <t>4.3. Hội nghị khoa học sinh viên, tổng kết hoạt động nghiên cứu khoa học của sinh viên.</t>
  </si>
  <si>
    <t>4.4. Hội nghị giới thiệu sản phẩm KH&amp;CN, sáng tạo kỹ thuật của sinh viên và giảng viên Trường Đại học Nông nghiệp Hà Nội</t>
  </si>
  <si>
    <t>Đơn vị: Đồng</t>
  </si>
  <si>
    <t>KP còn được SD</t>
  </si>
  <si>
    <t>KP được cấp</t>
  </si>
  <si>
    <t>VI</t>
  </si>
  <si>
    <t>Hà Nội, ngày     tháng    năm 2013</t>
  </si>
  <si>
    <t>KP tiết kiệm 7 tháng cuối năm 2013</t>
  </si>
  <si>
    <t>KP tiết kiệm 3 tháng cuối năm 2013</t>
  </si>
  <si>
    <t>PHƯƠNG ÁN TIẾT KIỆM KINH PHÍ NGHIÊN CỨU KHOA HỌC NĂM 2013</t>
  </si>
  <si>
    <t>KINH PHÍ THỰC HIỆN NHIỆM VỤ KHOA HỌC CÔNG NGHỆ</t>
  </si>
  <si>
    <t>KINH PHÍ KHÔNG THƯỜNG XUYÊN</t>
  </si>
  <si>
    <t>Tổng số</t>
  </si>
  <si>
    <t>2.1. Hỗ trợ đề tài cấp Trường chuyển tiếp năm 2012</t>
  </si>
  <si>
    <t>2.2. Hỗ trợ các đề tài cấp Trường thực hiện từ năm 2013</t>
  </si>
  <si>
    <t>(Kèm theo công văn số 1275 ngày 11 /11/2013)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</si>
</sst>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 _₫_-;\-* #,##0\ _₫_-;_-* &quot;-&quot;??\ _₫_-;_-@_-"/>
    <numFmt numFmtId="166" formatCode="_-* #,##0.000\ _₫_-;\-* #,##0.000\ _₫_-;_-* &quot;-&quot;??\ _₫_-;_-@_-"/>
    <numFmt numFmtId="167" formatCode="_-* #,##0.0000\ _₫_-;\-* #,##0.0000\ _₫_-;_-* &quot;-&quot;??\ _₫_-;_-@_-"/>
    <numFmt numFmtId="168" formatCode="_-* #,##0.00000\ _₫_-;\-* #,##0.00000\ _₫_-;_-* &quot;-&quot;??\ _₫_-;_-@_-"/>
    <numFmt numFmtId="169" formatCode="_-* #,##0.000000\ _₫_-;\-* #,##0.000000\ _₫_-;_-* &quot;-&quot;??\ _₫_-;_-@_-"/>
    <numFmt numFmtId="170" formatCode="_-* #,##0.0000000\ _₫_-;\-* #,##0.0000000\ _₫_-;_-* &quot;-&quot;??\ _₫_-;_-@_-"/>
    <numFmt numFmtId="171" formatCode="_-* #,##0.00000000\ _₫_-;\-* #,##0.00000000\ _₫_-;_-* &quot;-&quot;??\ _₫_-;_-@_-"/>
    <numFmt numFmtId="172" formatCode="_-* #,##0.000000000\ _₫_-;\-* #,##0.000000000\ _₫_-;_-* &quot;-&quot;??\ _₫_-;_-@_-"/>
    <numFmt numFmtId="173" formatCode="0.0%"/>
    <numFmt numFmtId="174" formatCode="0.000%"/>
    <numFmt numFmtId="175" formatCode="0.0000%"/>
    <numFmt numFmtId="176" formatCode="0.00000%"/>
    <numFmt numFmtId="177" formatCode="0.000000%"/>
    <numFmt numFmtId="178" formatCode="0.0000000%"/>
    <numFmt numFmtId="179" formatCode="0.00000000%"/>
  </numFmts>
  <fonts count="24">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sz val="11"/>
      <name val="Times New Roman"/>
      <family val="1"/>
    </font>
    <font>
      <b/>
      <sz val="11"/>
      <name val="Times New Roman"/>
      <family val="1"/>
    </font>
    <font>
      <i/>
      <sz val="11"/>
      <name val="Times New Roman"/>
      <family val="1"/>
    </font>
    <font>
      <b/>
      <i/>
      <sz val="11"/>
      <name val="Times New Roman"/>
      <family val="1"/>
    </font>
    <font>
      <b/>
      <sz val="14"/>
      <name val="Times New Roman"/>
      <family val="1"/>
    </font>
    <font>
      <i/>
      <sz val="11"/>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1" borderId="2" applyNumberFormat="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99">
    <xf numFmtId="0" fontId="0" fillId="0" borderId="0" xfId="0" applyAlignment="1">
      <alignment/>
    </xf>
    <xf numFmtId="0" fontId="18" fillId="0" borderId="0" xfId="0" applyFont="1" applyBorder="1" applyAlignment="1">
      <alignment horizontal="center" vertical="top"/>
    </xf>
    <xf numFmtId="0" fontId="19" fillId="0" borderId="0" xfId="0" applyFont="1" applyBorder="1" applyAlignment="1">
      <alignment horizontal="center" vertical="top"/>
    </xf>
    <xf numFmtId="0" fontId="18" fillId="0" borderId="0" xfId="0" applyFont="1" applyBorder="1" applyAlignment="1">
      <alignment horizontal="center" vertical="top" wrapText="1"/>
    </xf>
    <xf numFmtId="0" fontId="19" fillId="0" borderId="0" xfId="0" applyFont="1" applyBorder="1" applyAlignment="1">
      <alignment horizontal="center" vertical="top" wrapText="1"/>
    </xf>
    <xf numFmtId="0" fontId="18" fillId="0" borderId="0" xfId="0" applyFont="1" applyBorder="1" applyAlignment="1">
      <alignment vertical="top"/>
    </xf>
    <xf numFmtId="0" fontId="18" fillId="0" borderId="0" xfId="0" applyFont="1" applyAlignment="1">
      <alignment horizontal="center"/>
    </xf>
    <xf numFmtId="0" fontId="18" fillId="0" borderId="0" xfId="0" applyFont="1" applyBorder="1" applyAlignment="1">
      <alignment horizontal="right" vertical="top"/>
    </xf>
    <xf numFmtId="165" fontId="18" fillId="0" borderId="0" xfId="41" applyNumberFormat="1" applyFont="1" applyBorder="1" applyAlignment="1">
      <alignment vertical="top"/>
    </xf>
    <xf numFmtId="0" fontId="18" fillId="0" borderId="0" xfId="0" applyFont="1" applyAlignment="1">
      <alignment/>
    </xf>
    <xf numFmtId="0" fontId="19" fillId="0" borderId="0" xfId="0" applyFont="1" applyAlignment="1">
      <alignment horizontal="center" wrapText="1"/>
    </xf>
    <xf numFmtId="0" fontId="19" fillId="0" borderId="0" xfId="0" applyFont="1" applyAlignment="1">
      <alignment horizontal="center"/>
    </xf>
    <xf numFmtId="0" fontId="18" fillId="0" borderId="0" xfId="0" applyFont="1" applyAlignment="1">
      <alignment wrapText="1"/>
    </xf>
    <xf numFmtId="49" fontId="18" fillId="0" borderId="0" xfId="0" applyNumberFormat="1" applyFont="1" applyAlignment="1">
      <alignment/>
    </xf>
    <xf numFmtId="0" fontId="18" fillId="0" borderId="0" xfId="0" applyFont="1" applyAlignment="1">
      <alignment/>
    </xf>
    <xf numFmtId="165" fontId="18" fillId="0" borderId="0" xfId="41" applyNumberFormat="1" applyFont="1" applyAlignment="1">
      <alignment/>
    </xf>
    <xf numFmtId="0" fontId="20" fillId="0" borderId="10" xfId="0" applyFont="1" applyBorder="1" applyAlignment="1">
      <alignment horizontal="center"/>
    </xf>
    <xf numFmtId="0" fontId="19" fillId="0" borderId="11" xfId="0" applyFont="1" applyBorder="1" applyAlignment="1">
      <alignment horizontal="center" vertical="center" wrapText="1"/>
    </xf>
    <xf numFmtId="49" fontId="19" fillId="0" borderId="11" xfId="0" applyNumberFormat="1" applyFont="1" applyBorder="1" applyAlignment="1">
      <alignment horizontal="center" vertical="center" wrapText="1"/>
    </xf>
    <xf numFmtId="165" fontId="19" fillId="0" borderId="11" xfId="41" applyNumberFormat="1" applyFont="1" applyBorder="1" applyAlignment="1">
      <alignment horizontal="center" vertical="center" wrapText="1"/>
    </xf>
    <xf numFmtId="0" fontId="20" fillId="0" borderId="11" xfId="0" applyFont="1" applyBorder="1" applyAlignment="1">
      <alignment horizontal="center" vertical="top" wrapText="1"/>
    </xf>
    <xf numFmtId="0" fontId="20" fillId="0" borderId="12" xfId="0" applyFont="1" applyBorder="1" applyAlignment="1">
      <alignment vertical="top" wrapText="1"/>
    </xf>
    <xf numFmtId="49" fontId="20" fillId="0" borderId="11" xfId="0" applyNumberFormat="1" applyFont="1" applyBorder="1" applyAlignment="1">
      <alignment horizontal="center" vertical="top" wrapText="1"/>
    </xf>
    <xf numFmtId="0" fontId="20" fillId="0" borderId="11" xfId="0" applyFont="1" applyBorder="1" applyAlignment="1">
      <alignment vertical="top" wrapText="1"/>
    </xf>
    <xf numFmtId="0" fontId="20" fillId="0" borderId="11" xfId="0" applyFont="1" applyBorder="1" applyAlignment="1">
      <alignment horizontal="center" vertical="top"/>
    </xf>
    <xf numFmtId="0" fontId="19" fillId="24" borderId="11" xfId="0" applyFont="1" applyFill="1" applyBorder="1" applyAlignment="1">
      <alignment horizontal="center" vertical="top" wrapText="1"/>
    </xf>
    <xf numFmtId="0" fontId="19" fillId="24" borderId="12" xfId="0" applyFont="1" applyFill="1" applyBorder="1" applyAlignment="1">
      <alignment vertical="top" wrapText="1"/>
    </xf>
    <xf numFmtId="0" fontId="19" fillId="24" borderId="11" xfId="0" applyFont="1" applyFill="1" applyBorder="1" applyAlignment="1">
      <alignment horizontal="justify" vertical="top" wrapText="1"/>
    </xf>
    <xf numFmtId="49" fontId="19" fillId="24" borderId="11" xfId="0" applyNumberFormat="1" applyFont="1" applyFill="1" applyBorder="1" applyAlignment="1">
      <alignment horizontal="justify" vertical="top" wrapText="1"/>
    </xf>
    <xf numFmtId="3" fontId="19" fillId="24" borderId="11" xfId="0" applyNumberFormat="1" applyFont="1" applyFill="1" applyBorder="1" applyAlignment="1">
      <alignment vertical="top" wrapText="1"/>
    </xf>
    <xf numFmtId="3" fontId="19" fillId="24" borderId="11" xfId="0" applyNumberFormat="1" applyFont="1" applyFill="1" applyBorder="1" applyAlignment="1">
      <alignment vertical="top"/>
    </xf>
    <xf numFmtId="0" fontId="19" fillId="0" borderId="11" xfId="0" applyFont="1" applyBorder="1" applyAlignment="1">
      <alignment horizontal="center" vertical="top" wrapText="1"/>
    </xf>
    <xf numFmtId="0" fontId="19" fillId="0" borderId="12" xfId="0" applyFont="1" applyBorder="1" applyAlignment="1">
      <alignment vertical="top" wrapText="1"/>
    </xf>
    <xf numFmtId="0" fontId="19" fillId="0" borderId="11" xfId="0" applyFont="1" applyBorder="1" applyAlignment="1">
      <alignment vertical="top" wrapText="1"/>
    </xf>
    <xf numFmtId="49" fontId="19" fillId="0" borderId="11" xfId="0" applyNumberFormat="1" applyFont="1" applyBorder="1" applyAlignment="1">
      <alignment horizontal="justify" vertical="top" wrapText="1"/>
    </xf>
    <xf numFmtId="3" fontId="19" fillId="0" borderId="11" xfId="0" applyNumberFormat="1" applyFont="1" applyBorder="1" applyAlignment="1">
      <alignment vertical="top" wrapText="1"/>
    </xf>
    <xf numFmtId="0" fontId="19" fillId="0" borderId="11" xfId="0" applyFont="1" applyBorder="1" applyAlignment="1">
      <alignment horizontal="justify" vertical="top"/>
    </xf>
    <xf numFmtId="0" fontId="18" fillId="0" borderId="11" xfId="0" applyFont="1" applyBorder="1" applyAlignment="1">
      <alignment horizontal="center" vertical="top" wrapText="1"/>
    </xf>
    <xf numFmtId="0" fontId="18" fillId="0" borderId="12" xfId="0" applyFont="1" applyBorder="1" applyAlignment="1">
      <alignment vertical="top" wrapText="1"/>
    </xf>
    <xf numFmtId="0" fontId="18" fillId="0" borderId="11" xfId="0" applyFont="1" applyBorder="1" applyAlignment="1">
      <alignment horizontal="justify" vertical="top" wrapText="1"/>
    </xf>
    <xf numFmtId="49" fontId="18" fillId="0" borderId="11" xfId="0" applyNumberFormat="1" applyFont="1" applyBorder="1" applyAlignment="1">
      <alignment horizontal="justify" vertical="top" wrapText="1"/>
    </xf>
    <xf numFmtId="3" fontId="18" fillId="0" borderId="11" xfId="0" applyNumberFormat="1" applyFont="1" applyBorder="1" applyAlignment="1">
      <alignment vertical="top" wrapText="1"/>
    </xf>
    <xf numFmtId="165" fontId="18" fillId="0" borderId="11" xfId="41" applyNumberFormat="1" applyFont="1" applyBorder="1" applyAlignment="1">
      <alignment vertical="top" wrapText="1"/>
    </xf>
    <xf numFmtId="0" fontId="18" fillId="0" borderId="11" xfId="0" applyFont="1" applyBorder="1" applyAlignment="1">
      <alignment vertical="top"/>
    </xf>
    <xf numFmtId="0" fontId="19" fillId="0" borderId="11" xfId="0" applyFont="1" applyFill="1" applyBorder="1" applyAlignment="1">
      <alignment horizontal="center" vertical="top" wrapText="1"/>
    </xf>
    <xf numFmtId="0" fontId="19" fillId="0" borderId="12" xfId="0" applyFont="1" applyFill="1" applyBorder="1" applyAlignment="1">
      <alignment vertical="top" wrapText="1"/>
    </xf>
    <xf numFmtId="0" fontId="19" fillId="0" borderId="11" xfId="0" applyFont="1" applyFill="1" applyBorder="1" applyAlignment="1">
      <alignment vertical="top" wrapText="1"/>
    </xf>
    <xf numFmtId="49" fontId="19" fillId="0" borderId="11" xfId="0" applyNumberFormat="1" applyFont="1" applyFill="1" applyBorder="1" applyAlignment="1">
      <alignment horizontal="justify" vertical="top" wrapText="1"/>
    </xf>
    <xf numFmtId="3" fontId="19" fillId="0" borderId="11" xfId="0" applyNumberFormat="1" applyFont="1" applyFill="1" applyBorder="1" applyAlignment="1">
      <alignment vertical="top" wrapText="1"/>
    </xf>
    <xf numFmtId="0" fontId="18" fillId="0" borderId="11" xfId="0" applyFont="1" applyFill="1" applyBorder="1" applyAlignment="1">
      <alignment vertical="top"/>
    </xf>
    <xf numFmtId="0" fontId="18" fillId="0" borderId="0" xfId="0" applyFont="1" applyFill="1" applyAlignment="1">
      <alignment/>
    </xf>
    <xf numFmtId="0" fontId="19" fillId="0" borderId="11" xfId="0" applyFont="1" applyFill="1" applyBorder="1" applyAlignment="1">
      <alignment horizontal="justify" vertical="top" wrapText="1"/>
    </xf>
    <xf numFmtId="0" fontId="21" fillId="0" borderId="11" xfId="0" applyFont="1" applyFill="1" applyBorder="1" applyAlignment="1">
      <alignment horizontal="center" vertical="top" wrapText="1"/>
    </xf>
    <xf numFmtId="0" fontId="21" fillId="0" borderId="12" xfId="0" applyFont="1" applyFill="1" applyBorder="1" applyAlignment="1">
      <alignment vertical="top" wrapText="1"/>
    </xf>
    <xf numFmtId="0" fontId="21" fillId="0" borderId="11" xfId="0" applyFont="1" applyFill="1" applyBorder="1" applyAlignment="1">
      <alignment horizontal="justify" vertical="top" wrapText="1"/>
    </xf>
    <xf numFmtId="49" fontId="21" fillId="0" borderId="11" xfId="0" applyNumberFormat="1" applyFont="1" applyFill="1" applyBorder="1" applyAlignment="1">
      <alignment horizontal="justify" vertical="top" wrapText="1"/>
    </xf>
    <xf numFmtId="3" fontId="21" fillId="0" borderId="11" xfId="0" applyNumberFormat="1" applyFont="1" applyFill="1" applyBorder="1" applyAlignment="1">
      <alignment vertical="top" wrapText="1"/>
    </xf>
    <xf numFmtId="0" fontId="21" fillId="0" borderId="11" xfId="0" applyFont="1" applyFill="1" applyBorder="1" applyAlignment="1">
      <alignment vertical="top" wrapText="1"/>
    </xf>
    <xf numFmtId="0" fontId="18" fillId="24" borderId="11" xfId="0" applyFont="1" applyFill="1" applyBorder="1" applyAlignment="1">
      <alignment vertical="top"/>
    </xf>
    <xf numFmtId="3" fontId="18" fillId="0" borderId="0" xfId="0" applyNumberFormat="1" applyFont="1" applyAlignment="1">
      <alignment/>
    </xf>
    <xf numFmtId="49" fontId="18" fillId="0" borderId="11" xfId="0" applyNumberFormat="1" applyFont="1" applyFill="1" applyBorder="1" applyAlignment="1">
      <alignment horizontal="justify" vertical="top" wrapText="1"/>
    </xf>
    <xf numFmtId="0" fontId="18" fillId="0" borderId="11" xfId="0" applyFont="1" applyBorder="1" applyAlignment="1">
      <alignment vertical="top" wrapText="1"/>
    </xf>
    <xf numFmtId="0" fontId="18" fillId="0" borderId="11" xfId="0" applyFont="1" applyFill="1" applyBorder="1" applyAlignment="1">
      <alignment vertical="top" wrapText="1"/>
    </xf>
    <xf numFmtId="0" fontId="18" fillId="24" borderId="11" xfId="0" applyFont="1" applyFill="1" applyBorder="1" applyAlignment="1">
      <alignment horizontal="justify" vertical="top"/>
    </xf>
    <xf numFmtId="0" fontId="18" fillId="0" borderId="0" xfId="0" applyFont="1" applyAlignment="1">
      <alignment horizontal="justify" vertical="top"/>
    </xf>
    <xf numFmtId="3" fontId="18" fillId="0" borderId="0" xfId="0" applyNumberFormat="1" applyFont="1" applyAlignment="1">
      <alignment horizontal="justify" vertical="top"/>
    </xf>
    <xf numFmtId="0" fontId="18" fillId="0" borderId="11" xfId="0" applyFont="1" applyBorder="1" applyAlignment="1">
      <alignment horizontal="center" vertical="top"/>
    </xf>
    <xf numFmtId="0" fontId="18" fillId="0" borderId="11" xfId="0" applyFont="1" applyBorder="1" applyAlignment="1">
      <alignment horizontal="justify" vertical="top"/>
    </xf>
    <xf numFmtId="0" fontId="18" fillId="0" borderId="11" xfId="0" applyNumberFormat="1" applyFont="1" applyBorder="1" applyAlignment="1">
      <alignment horizontal="justify" vertical="top"/>
    </xf>
    <xf numFmtId="3" fontId="18" fillId="0" borderId="11" xfId="0" applyNumberFormat="1" applyFont="1" applyBorder="1" applyAlignment="1">
      <alignment vertical="top"/>
    </xf>
    <xf numFmtId="49" fontId="18" fillId="0" borderId="11" xfId="0" applyNumberFormat="1" applyFont="1" applyBorder="1" applyAlignment="1">
      <alignment horizontal="justify" vertical="top"/>
    </xf>
    <xf numFmtId="3" fontId="19" fillId="0" borderId="11" xfId="0" applyNumberFormat="1" applyFont="1" applyBorder="1" applyAlignment="1">
      <alignment vertical="top"/>
    </xf>
    <xf numFmtId="0" fontId="19" fillId="0" borderId="11" xfId="0" applyNumberFormat="1" applyFont="1" applyBorder="1" applyAlignment="1">
      <alignment horizontal="right" vertical="top"/>
    </xf>
    <xf numFmtId="0" fontId="18" fillId="0" borderId="0" xfId="0" applyFont="1" applyBorder="1" applyAlignment="1">
      <alignment horizontal="justify" vertical="top"/>
    </xf>
    <xf numFmtId="49" fontId="18" fillId="0" borderId="0" xfId="0" applyNumberFormat="1" applyFont="1" applyBorder="1" applyAlignment="1">
      <alignment horizontal="justify" vertical="top"/>
    </xf>
    <xf numFmtId="3" fontId="19" fillId="0" borderId="0" xfId="0" applyNumberFormat="1" applyFont="1" applyBorder="1" applyAlignment="1">
      <alignment vertical="top"/>
    </xf>
    <xf numFmtId="49" fontId="19" fillId="0" borderId="0" xfId="0" applyNumberFormat="1" applyFont="1" applyBorder="1" applyAlignment="1">
      <alignment horizontal="right" vertical="top"/>
    </xf>
    <xf numFmtId="0" fontId="18" fillId="0" borderId="0" xfId="0" applyFont="1" applyAlignment="1">
      <alignment horizontal="center" vertical="top"/>
    </xf>
    <xf numFmtId="0" fontId="18" fillId="0" borderId="0" xfId="0" applyFont="1" applyAlignment="1">
      <alignment horizontal="justify" vertical="top" wrapText="1"/>
    </xf>
    <xf numFmtId="49" fontId="18" fillId="0" borderId="0" xfId="0" applyNumberFormat="1" applyFont="1" applyAlignment="1">
      <alignment horizontal="justify" vertical="top"/>
    </xf>
    <xf numFmtId="49" fontId="20" fillId="0" borderId="0" xfId="0" applyNumberFormat="1" applyFont="1" applyAlignment="1">
      <alignment horizontal="center" vertical="top"/>
    </xf>
    <xf numFmtId="0" fontId="19" fillId="0" borderId="0" xfId="0" applyFont="1" applyAlignment="1">
      <alignment horizontal="center" vertical="top"/>
    </xf>
    <xf numFmtId="0" fontId="18" fillId="0" borderId="0" xfId="0" applyFont="1" applyAlignment="1">
      <alignment vertical="top"/>
    </xf>
    <xf numFmtId="165" fontId="18" fillId="0" borderId="0" xfId="41" applyNumberFormat="1" applyFont="1" applyAlignment="1">
      <alignment vertical="top"/>
    </xf>
    <xf numFmtId="3" fontId="18" fillId="0" borderId="0" xfId="0" applyNumberFormat="1" applyFont="1" applyAlignment="1">
      <alignment vertical="top"/>
    </xf>
    <xf numFmtId="3" fontId="18" fillId="0" borderId="11" xfId="0" applyNumberFormat="1" applyFont="1" applyBorder="1" applyAlignment="1" quotePrefix="1">
      <alignment vertical="top" wrapText="1"/>
    </xf>
    <xf numFmtId="171" fontId="19" fillId="0" borderId="0" xfId="41" applyNumberFormat="1" applyFont="1" applyBorder="1" applyAlignment="1">
      <alignment vertical="top"/>
    </xf>
    <xf numFmtId="0" fontId="22" fillId="0" borderId="0" xfId="0" applyFont="1" applyAlignment="1">
      <alignment horizontal="center"/>
    </xf>
    <xf numFmtId="179" fontId="23" fillId="0" borderId="11" xfId="57" applyNumberFormat="1" applyFont="1" applyBorder="1" applyAlignment="1">
      <alignment vertical="top" wrapText="1"/>
    </xf>
    <xf numFmtId="49" fontId="19" fillId="0" borderId="11" xfId="0" applyNumberFormat="1" applyFont="1" applyBorder="1" applyAlignment="1">
      <alignment horizontal="center" vertical="top" wrapText="1"/>
    </xf>
    <xf numFmtId="0" fontId="19" fillId="0" borderId="11" xfId="0" applyFont="1" applyBorder="1" applyAlignment="1">
      <alignment horizontal="center" vertical="top"/>
    </xf>
    <xf numFmtId="0" fontId="19" fillId="0" borderId="11" xfId="0" applyNumberFormat="1" applyFont="1" applyBorder="1" applyAlignment="1">
      <alignment horizontal="justify" vertical="top"/>
    </xf>
    <xf numFmtId="165" fontId="19" fillId="0" borderId="11" xfId="41" applyNumberFormat="1" applyFont="1" applyBorder="1" applyAlignment="1">
      <alignment vertical="top" wrapText="1"/>
    </xf>
    <xf numFmtId="0" fontId="20" fillId="0" borderId="0" xfId="0" applyFont="1" applyAlignment="1">
      <alignment horizont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49" fontId="19" fillId="0" borderId="12" xfId="0" applyNumberFormat="1" applyFont="1" applyBorder="1" applyAlignment="1">
      <alignment horizontal="center" vertical="center" wrapText="1"/>
    </xf>
    <xf numFmtId="49" fontId="19" fillId="0" borderId="16"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7"/>
  <sheetViews>
    <sheetView tabSelected="1" workbookViewId="0" topLeftCell="A1">
      <selection activeCell="F7" sqref="F7"/>
    </sheetView>
  </sheetViews>
  <sheetFormatPr defaultColWidth="9.140625" defaultRowHeight="15"/>
  <cols>
    <col min="1" max="1" width="5.421875" style="6" customWidth="1"/>
    <col min="2" max="2" width="33.140625" style="12" customWidth="1"/>
    <col min="3" max="3" width="13.28125" style="9" customWidth="1"/>
    <col min="4" max="4" width="6.8515625" style="13" customWidth="1"/>
    <col min="5" max="5" width="7.421875" style="13" customWidth="1"/>
    <col min="6" max="6" width="15.140625" style="14" customWidth="1"/>
    <col min="7" max="7" width="16.57421875" style="15" bestFit="1" customWidth="1"/>
    <col min="8" max="8" width="13.8515625" style="15" customWidth="1"/>
    <col min="9" max="9" width="15.421875" style="14" bestFit="1" customWidth="1"/>
    <col min="10" max="10" width="10.00390625" style="9" customWidth="1"/>
    <col min="11" max="16384" width="9.140625" style="9" customWidth="1"/>
  </cols>
  <sheetData>
    <row r="1" spans="2:9" ht="15">
      <c r="B1" s="3"/>
      <c r="C1" s="1" t="s">
        <v>143</v>
      </c>
      <c r="D1" s="1"/>
      <c r="E1" s="7"/>
      <c r="F1" s="5"/>
      <c r="G1" s="8"/>
      <c r="H1" s="8"/>
      <c r="I1" s="5"/>
    </row>
    <row r="2" spans="2:9" ht="15">
      <c r="B2" s="4"/>
      <c r="C2" s="2" t="s">
        <v>144</v>
      </c>
      <c r="D2" s="1"/>
      <c r="E2" s="7"/>
      <c r="F2" s="5"/>
      <c r="G2" s="8"/>
      <c r="H2" s="8"/>
      <c r="I2" s="5"/>
    </row>
    <row r="3" spans="1:9" ht="15">
      <c r="A3" s="1"/>
      <c r="B3" s="4"/>
      <c r="C3" s="2"/>
      <c r="D3" s="1"/>
      <c r="E3" s="7"/>
      <c r="F3" s="5"/>
      <c r="G3" s="8"/>
      <c r="H3" s="8"/>
      <c r="I3" s="5"/>
    </row>
    <row r="4" spans="1:9" ht="15">
      <c r="A4" s="1"/>
      <c r="B4" s="4"/>
      <c r="C4" s="2"/>
      <c r="D4" s="1"/>
      <c r="E4" s="7"/>
      <c r="F4" s="5"/>
      <c r="G4" s="8"/>
      <c r="H4" s="8"/>
      <c r="I4" s="5"/>
    </row>
    <row r="5" spans="2:10" ht="18.75">
      <c r="B5" s="10"/>
      <c r="C5" s="11"/>
      <c r="E5" s="11"/>
      <c r="F5" s="87" t="s">
        <v>162</v>
      </c>
      <c r="G5" s="11"/>
      <c r="H5" s="11"/>
      <c r="I5" s="11"/>
      <c r="J5" s="11"/>
    </row>
    <row r="6" spans="4:6" ht="15">
      <c r="D6" s="6"/>
      <c r="F6" s="93" t="s">
        <v>168</v>
      </c>
    </row>
    <row r="7" spans="7:10" ht="15">
      <c r="G7" s="16"/>
      <c r="H7" s="16"/>
      <c r="I7" s="16" t="s">
        <v>155</v>
      </c>
      <c r="J7" s="16"/>
    </row>
    <row r="8" spans="1:10" ht="15">
      <c r="A8" s="95" t="s">
        <v>0</v>
      </c>
      <c r="B8" s="95" t="s">
        <v>1</v>
      </c>
      <c r="C8" s="95" t="s">
        <v>2</v>
      </c>
      <c r="D8" s="97" t="s">
        <v>3</v>
      </c>
      <c r="E8" s="98"/>
      <c r="F8" s="94"/>
      <c r="G8" s="94"/>
      <c r="H8" s="94"/>
      <c r="I8" s="94"/>
      <c r="J8" s="17" t="s">
        <v>4</v>
      </c>
    </row>
    <row r="9" spans="1:10" ht="57">
      <c r="A9" s="96"/>
      <c r="B9" s="96"/>
      <c r="C9" s="96"/>
      <c r="D9" s="18" t="s">
        <v>5</v>
      </c>
      <c r="E9" s="18" t="s">
        <v>6</v>
      </c>
      <c r="F9" s="17" t="s">
        <v>157</v>
      </c>
      <c r="G9" s="19" t="s">
        <v>160</v>
      </c>
      <c r="H9" s="19" t="s">
        <v>161</v>
      </c>
      <c r="I9" s="17" t="s">
        <v>156</v>
      </c>
      <c r="J9" s="17"/>
    </row>
    <row r="10" spans="1:10" ht="15">
      <c r="A10" s="20">
        <v>1</v>
      </c>
      <c r="B10" s="21">
        <v>2</v>
      </c>
      <c r="C10" s="20">
        <v>3</v>
      </c>
      <c r="D10" s="22">
        <v>6</v>
      </c>
      <c r="E10" s="22">
        <v>7</v>
      </c>
      <c r="F10" s="23">
        <v>9</v>
      </c>
      <c r="G10" s="88">
        <v>0.0270938</v>
      </c>
      <c r="H10" s="88"/>
      <c r="I10" s="23"/>
      <c r="J10" s="24">
        <v>11</v>
      </c>
    </row>
    <row r="11" spans="1:10" ht="42.75">
      <c r="A11" s="31" t="s">
        <v>9</v>
      </c>
      <c r="B11" s="32" t="s">
        <v>163</v>
      </c>
      <c r="C11" s="31"/>
      <c r="D11" s="89"/>
      <c r="E11" s="89"/>
      <c r="F11" s="35">
        <f>F12+F25+F71</f>
        <v>11551000000</v>
      </c>
      <c r="G11" s="35">
        <f>G12+G25+G71</f>
        <v>306999999.8</v>
      </c>
      <c r="H11" s="35">
        <f>H12+H25+H71</f>
        <v>0</v>
      </c>
      <c r="I11" s="35">
        <f>I12+I25+I71</f>
        <v>11244000000.2</v>
      </c>
      <c r="J11" s="90"/>
    </row>
    <row r="12" spans="1:10" ht="28.5">
      <c r="A12" s="25" t="s">
        <v>7</v>
      </c>
      <c r="B12" s="26" t="s">
        <v>8</v>
      </c>
      <c r="C12" s="27"/>
      <c r="D12" s="28"/>
      <c r="E12" s="28"/>
      <c r="F12" s="30">
        <f>F13+F16+F18</f>
        <v>5400000000</v>
      </c>
      <c r="G12" s="30">
        <f>G13+G16+G18</f>
        <v>146320000</v>
      </c>
      <c r="H12" s="30">
        <f>H13+H16+H18</f>
        <v>0</v>
      </c>
      <c r="I12" s="30">
        <f>I13+I16+I18</f>
        <v>5253680000</v>
      </c>
      <c r="J12" s="27"/>
    </row>
    <row r="13" spans="1:10" ht="28.5">
      <c r="A13" s="31" t="s">
        <v>9</v>
      </c>
      <c r="B13" s="32" t="s">
        <v>145</v>
      </c>
      <c r="C13" s="33"/>
      <c r="D13" s="34"/>
      <c r="E13" s="34"/>
      <c r="F13" s="35">
        <f>SUM(F14:F15)</f>
        <v>1900000000</v>
      </c>
      <c r="G13" s="35">
        <f>SUM(G14:G15)</f>
        <v>51480000</v>
      </c>
      <c r="H13" s="35">
        <f>SUM(H14:H15)</f>
        <v>0</v>
      </c>
      <c r="I13" s="35">
        <f>SUM(I14:I15)</f>
        <v>1848520000</v>
      </c>
      <c r="J13" s="36"/>
    </row>
    <row r="14" spans="1:10" ht="45">
      <c r="A14" s="37" t="s">
        <v>10</v>
      </c>
      <c r="B14" s="38" t="s">
        <v>11</v>
      </c>
      <c r="C14" s="39" t="s">
        <v>12</v>
      </c>
      <c r="D14" s="40" t="s">
        <v>116</v>
      </c>
      <c r="E14" s="40" t="s">
        <v>117</v>
      </c>
      <c r="F14" s="42">
        <v>400000000</v>
      </c>
      <c r="G14" s="42">
        <f>2.70938%*F14+2480</f>
        <v>10840000</v>
      </c>
      <c r="H14" s="42">
        <v>0</v>
      </c>
      <c r="I14" s="41">
        <f>F14-G14</f>
        <v>389160000</v>
      </c>
      <c r="J14" s="43"/>
    </row>
    <row r="15" spans="1:10" ht="60">
      <c r="A15" s="37">
        <v>2</v>
      </c>
      <c r="B15" s="38" t="s">
        <v>13</v>
      </c>
      <c r="C15" s="39" t="s">
        <v>14</v>
      </c>
      <c r="D15" s="40" t="s">
        <v>118</v>
      </c>
      <c r="E15" s="40" t="s">
        <v>119</v>
      </c>
      <c r="F15" s="42">
        <v>1500000000</v>
      </c>
      <c r="G15" s="42">
        <f>2.70938%*F15-700</f>
        <v>40640000</v>
      </c>
      <c r="H15" s="42">
        <v>0</v>
      </c>
      <c r="I15" s="41">
        <f>F15-G15</f>
        <v>1459360000</v>
      </c>
      <c r="J15" s="43"/>
    </row>
    <row r="16" spans="1:10" s="50" customFormat="1" ht="28.5">
      <c r="A16" s="44" t="s">
        <v>16</v>
      </c>
      <c r="B16" s="45" t="s">
        <v>17</v>
      </c>
      <c r="C16" s="46"/>
      <c r="D16" s="47"/>
      <c r="E16" s="47"/>
      <c r="F16" s="48">
        <f>F17</f>
        <v>0</v>
      </c>
      <c r="G16" s="48">
        <f>G17</f>
        <v>0</v>
      </c>
      <c r="H16" s="48">
        <f>H17</f>
        <v>0</v>
      </c>
      <c r="I16" s="48">
        <f>I17</f>
        <v>0</v>
      </c>
      <c r="J16" s="49"/>
    </row>
    <row r="17" spans="1:10" ht="45">
      <c r="A17" s="37">
        <v>1</v>
      </c>
      <c r="B17" s="38" t="s">
        <v>18</v>
      </c>
      <c r="C17" s="39" t="s">
        <v>19</v>
      </c>
      <c r="D17" s="40" t="s">
        <v>122</v>
      </c>
      <c r="E17" s="40" t="s">
        <v>123</v>
      </c>
      <c r="F17" s="41">
        <v>0</v>
      </c>
      <c r="G17" s="42">
        <f>1.7714%*F17</f>
        <v>0</v>
      </c>
      <c r="H17" s="42">
        <v>0</v>
      </c>
      <c r="I17" s="41">
        <f>F17-G17</f>
        <v>0</v>
      </c>
      <c r="J17" s="43"/>
    </row>
    <row r="18" spans="1:10" s="50" customFormat="1" ht="28.5">
      <c r="A18" s="44" t="s">
        <v>20</v>
      </c>
      <c r="B18" s="45" t="s">
        <v>21</v>
      </c>
      <c r="C18" s="51"/>
      <c r="D18" s="47"/>
      <c r="E18" s="47"/>
      <c r="F18" s="48">
        <f>F19+F23</f>
        <v>3500000000</v>
      </c>
      <c r="G18" s="48">
        <f>G19+G23</f>
        <v>94840000</v>
      </c>
      <c r="H18" s="48">
        <f>H19+H23</f>
        <v>0</v>
      </c>
      <c r="I18" s="48">
        <f>I19+I23</f>
        <v>3405160000</v>
      </c>
      <c r="J18" s="49"/>
    </row>
    <row r="19" spans="1:10" s="50" customFormat="1" ht="45">
      <c r="A19" s="52" t="s">
        <v>22</v>
      </c>
      <c r="B19" s="53" t="s">
        <v>23</v>
      </c>
      <c r="C19" s="54"/>
      <c r="D19" s="55"/>
      <c r="E19" s="55"/>
      <c r="F19" s="56">
        <f>SUM(F20:F22)</f>
        <v>2500000000</v>
      </c>
      <c r="G19" s="56">
        <f>SUM(G20:G22)</f>
        <v>67740000</v>
      </c>
      <c r="H19" s="56">
        <f>SUM(H20:H22)</f>
        <v>0</v>
      </c>
      <c r="I19" s="56">
        <f>SUM(I20:I22)</f>
        <v>2432260000</v>
      </c>
      <c r="J19" s="49"/>
    </row>
    <row r="20" spans="1:10" ht="60">
      <c r="A20" s="37">
        <v>1</v>
      </c>
      <c r="B20" s="38" t="s">
        <v>24</v>
      </c>
      <c r="C20" s="39" t="s">
        <v>25</v>
      </c>
      <c r="D20" s="40" t="s">
        <v>124</v>
      </c>
      <c r="E20" s="40" t="s">
        <v>125</v>
      </c>
      <c r="F20" s="41">
        <v>700000000</v>
      </c>
      <c r="G20" s="42">
        <f>2.70938%*F20-5660</f>
        <v>18960000</v>
      </c>
      <c r="H20" s="42">
        <v>0</v>
      </c>
      <c r="I20" s="41">
        <f>F20-G20</f>
        <v>681040000</v>
      </c>
      <c r="J20" s="43"/>
    </row>
    <row r="21" spans="1:10" ht="45">
      <c r="A21" s="37">
        <v>2</v>
      </c>
      <c r="B21" s="38" t="s">
        <v>26</v>
      </c>
      <c r="C21" s="39" t="s">
        <v>27</v>
      </c>
      <c r="D21" s="40" t="s">
        <v>118</v>
      </c>
      <c r="E21" s="40" t="s">
        <v>121</v>
      </c>
      <c r="F21" s="41">
        <v>900000000</v>
      </c>
      <c r="G21" s="42">
        <f>2.70938%*F21+5580</f>
        <v>24389999.999999996</v>
      </c>
      <c r="H21" s="42">
        <v>0</v>
      </c>
      <c r="I21" s="41">
        <f>F21-G21</f>
        <v>875610000</v>
      </c>
      <c r="J21" s="43"/>
    </row>
    <row r="22" spans="1:10" ht="45">
      <c r="A22" s="37">
        <v>3</v>
      </c>
      <c r="B22" s="38" t="s">
        <v>28</v>
      </c>
      <c r="C22" s="39" t="s">
        <v>29</v>
      </c>
      <c r="D22" s="40" t="s">
        <v>118</v>
      </c>
      <c r="E22" s="40" t="s">
        <v>121</v>
      </c>
      <c r="F22" s="41">
        <v>900000000</v>
      </c>
      <c r="G22" s="42">
        <f>2.70938%*F22+5580</f>
        <v>24389999.999999996</v>
      </c>
      <c r="H22" s="42">
        <v>0</v>
      </c>
      <c r="I22" s="41">
        <f>F22-G22</f>
        <v>875610000</v>
      </c>
      <c r="J22" s="43"/>
    </row>
    <row r="23" spans="1:10" s="50" customFormat="1" ht="30">
      <c r="A23" s="52" t="s">
        <v>30</v>
      </c>
      <c r="B23" s="53" t="s">
        <v>31</v>
      </c>
      <c r="C23" s="57"/>
      <c r="D23" s="55" t="s">
        <v>126</v>
      </c>
      <c r="E23" s="55" t="s">
        <v>126</v>
      </c>
      <c r="F23" s="56">
        <f>F24</f>
        <v>1000000000</v>
      </c>
      <c r="G23" s="56">
        <f>G24</f>
        <v>27099999.999999996</v>
      </c>
      <c r="H23" s="56">
        <f>H24</f>
        <v>0</v>
      </c>
      <c r="I23" s="56">
        <f>I24</f>
        <v>972900000</v>
      </c>
      <c r="J23" s="49"/>
    </row>
    <row r="24" spans="1:10" ht="60">
      <c r="A24" s="37">
        <v>1</v>
      </c>
      <c r="B24" s="38" t="s">
        <v>32</v>
      </c>
      <c r="C24" s="39" t="s">
        <v>33</v>
      </c>
      <c r="D24" s="40" t="s">
        <v>118</v>
      </c>
      <c r="E24" s="40" t="s">
        <v>127</v>
      </c>
      <c r="F24" s="41">
        <v>1000000000</v>
      </c>
      <c r="G24" s="42">
        <f>2.70938%*F24+6200</f>
        <v>27099999.999999996</v>
      </c>
      <c r="H24" s="42">
        <v>0</v>
      </c>
      <c r="I24" s="41">
        <f>F24-G24</f>
        <v>972900000</v>
      </c>
      <c r="J24" s="43"/>
    </row>
    <row r="25" spans="1:11" ht="28.5">
      <c r="A25" s="25" t="s">
        <v>34</v>
      </c>
      <c r="B25" s="26" t="s">
        <v>35</v>
      </c>
      <c r="C25" s="27"/>
      <c r="D25" s="28" t="s">
        <v>126</v>
      </c>
      <c r="E25" s="28" t="s">
        <v>126</v>
      </c>
      <c r="F25" s="29">
        <f>SUM(F26,F31,F44,F56,F58,F66)</f>
        <v>5010000000</v>
      </c>
      <c r="G25" s="29">
        <f>SUM(G26,G31,G44,G56,G58,G66)</f>
        <v>135690000</v>
      </c>
      <c r="H25" s="29">
        <f>SUM(H26,H31,H44,H56,H58,H66)</f>
        <v>0</v>
      </c>
      <c r="I25" s="29">
        <f>SUM(I26,I31,I44,I56,I58,I66)</f>
        <v>4874310000</v>
      </c>
      <c r="J25" s="58"/>
      <c r="K25" s="59"/>
    </row>
    <row r="26" spans="1:10" s="50" customFormat="1" ht="15">
      <c r="A26" s="44" t="s">
        <v>9</v>
      </c>
      <c r="B26" s="45" t="s">
        <v>36</v>
      </c>
      <c r="C26" s="51"/>
      <c r="D26" s="60" t="s">
        <v>126</v>
      </c>
      <c r="E26" s="60" t="s">
        <v>126</v>
      </c>
      <c r="F26" s="48">
        <f>SUM(F27:F30)</f>
        <v>390000000</v>
      </c>
      <c r="G26" s="48">
        <f>SUM(G27:G30)</f>
        <v>10570000</v>
      </c>
      <c r="H26" s="48">
        <f>SUM(H27:H30)</f>
        <v>0</v>
      </c>
      <c r="I26" s="48">
        <f>SUM(I27:I30)</f>
        <v>379430000</v>
      </c>
      <c r="J26" s="49"/>
    </row>
    <row r="27" spans="1:10" ht="45">
      <c r="A27" s="37">
        <v>1</v>
      </c>
      <c r="B27" s="38" t="s">
        <v>37</v>
      </c>
      <c r="C27" s="39" t="s">
        <v>38</v>
      </c>
      <c r="D27" s="40" t="s">
        <v>120</v>
      </c>
      <c r="E27" s="40" t="s">
        <v>117</v>
      </c>
      <c r="F27" s="41">
        <v>90000000</v>
      </c>
      <c r="G27" s="42">
        <f>2.70938%*F27+1558</f>
        <v>2440000</v>
      </c>
      <c r="H27" s="42">
        <v>0</v>
      </c>
      <c r="I27" s="41">
        <f>F27-G27</f>
        <v>87560000</v>
      </c>
      <c r="J27" s="43"/>
    </row>
    <row r="28" spans="1:10" ht="75">
      <c r="A28" s="37">
        <v>2</v>
      </c>
      <c r="B28" s="38" t="s">
        <v>39</v>
      </c>
      <c r="C28" s="39" t="s">
        <v>40</v>
      </c>
      <c r="D28" s="40" t="s">
        <v>120</v>
      </c>
      <c r="E28" s="40" t="s">
        <v>117</v>
      </c>
      <c r="F28" s="41">
        <v>90000000</v>
      </c>
      <c r="G28" s="42">
        <f>2.70938%*F28+1558</f>
        <v>2440000</v>
      </c>
      <c r="H28" s="42">
        <v>0</v>
      </c>
      <c r="I28" s="41">
        <f>F28-G28</f>
        <v>87560000</v>
      </c>
      <c r="J28" s="43"/>
    </row>
    <row r="29" spans="1:10" ht="30">
      <c r="A29" s="37">
        <v>3</v>
      </c>
      <c r="B29" s="38" t="s">
        <v>41</v>
      </c>
      <c r="C29" s="39" t="s">
        <v>15</v>
      </c>
      <c r="D29" s="40" t="s">
        <v>120</v>
      </c>
      <c r="E29" s="40" t="s">
        <v>117</v>
      </c>
      <c r="F29" s="41">
        <v>120000000</v>
      </c>
      <c r="G29" s="42">
        <f>2.70938%*F29-1256</f>
        <v>3249999.9999999995</v>
      </c>
      <c r="H29" s="42">
        <v>0</v>
      </c>
      <c r="I29" s="41">
        <f>F29-G29</f>
        <v>116750000</v>
      </c>
      <c r="J29" s="43"/>
    </row>
    <row r="30" spans="1:10" ht="60">
      <c r="A30" s="37">
        <v>4</v>
      </c>
      <c r="B30" s="38" t="s">
        <v>42</v>
      </c>
      <c r="C30" s="39" t="s">
        <v>43</v>
      </c>
      <c r="D30" s="40" t="s">
        <v>120</v>
      </c>
      <c r="E30" s="40" t="s">
        <v>117</v>
      </c>
      <c r="F30" s="41">
        <v>90000000</v>
      </c>
      <c r="G30" s="42">
        <f>2.70938%*F30+1558</f>
        <v>2440000</v>
      </c>
      <c r="H30" s="42">
        <v>0</v>
      </c>
      <c r="I30" s="41">
        <f>F30-G30</f>
        <v>87560000</v>
      </c>
      <c r="J30" s="43"/>
    </row>
    <row r="31" spans="1:10" s="50" customFormat="1" ht="28.5">
      <c r="A31" s="44" t="s">
        <v>16</v>
      </c>
      <c r="B31" s="45" t="s">
        <v>44</v>
      </c>
      <c r="C31" s="51"/>
      <c r="D31" s="47" t="s">
        <v>126</v>
      </c>
      <c r="E31" s="47" t="s">
        <v>126</v>
      </c>
      <c r="F31" s="48">
        <f>SUM(F32:F43)</f>
        <v>1130000000</v>
      </c>
      <c r="G31" s="48">
        <f>SUM(G32:G43)</f>
        <v>30570000</v>
      </c>
      <c r="H31" s="48">
        <f>SUM(H32:H43)</f>
        <v>0</v>
      </c>
      <c r="I31" s="48">
        <f>SUM(I32:I43)</f>
        <v>1099430000</v>
      </c>
      <c r="J31" s="49"/>
    </row>
    <row r="32" spans="1:10" ht="60">
      <c r="A32" s="37">
        <v>1</v>
      </c>
      <c r="B32" s="38" t="s">
        <v>45</v>
      </c>
      <c r="C32" s="39" t="s">
        <v>46</v>
      </c>
      <c r="D32" s="40" t="s">
        <v>118</v>
      </c>
      <c r="E32" s="40" t="s">
        <v>117</v>
      </c>
      <c r="F32" s="41">
        <v>75000000</v>
      </c>
      <c r="G32" s="42">
        <f>2.70938%*F32-2035</f>
        <v>2029999.9999999998</v>
      </c>
      <c r="H32" s="42">
        <v>0</v>
      </c>
      <c r="I32" s="41">
        <f aca="true" t="shared" si="0" ref="I32:I43">F32-G32</f>
        <v>72970000</v>
      </c>
      <c r="J32" s="43"/>
    </row>
    <row r="33" spans="1:10" ht="60">
      <c r="A33" s="37">
        <v>2</v>
      </c>
      <c r="B33" s="38" t="s">
        <v>47</v>
      </c>
      <c r="C33" s="39" t="s">
        <v>48</v>
      </c>
      <c r="D33" s="40" t="s">
        <v>118</v>
      </c>
      <c r="E33" s="40" t="s">
        <v>117</v>
      </c>
      <c r="F33" s="41">
        <v>130000000</v>
      </c>
      <c r="G33" s="42">
        <f>2.70938%*F33-2194</f>
        <v>3519999.9999999995</v>
      </c>
      <c r="H33" s="42">
        <v>0</v>
      </c>
      <c r="I33" s="41">
        <f t="shared" si="0"/>
        <v>126480000</v>
      </c>
      <c r="J33" s="43"/>
    </row>
    <row r="34" spans="1:10" ht="60">
      <c r="A34" s="37">
        <v>3</v>
      </c>
      <c r="B34" s="38" t="s">
        <v>49</v>
      </c>
      <c r="C34" s="39" t="s">
        <v>50</v>
      </c>
      <c r="D34" s="40" t="s">
        <v>118</v>
      </c>
      <c r="E34" s="40" t="s">
        <v>117</v>
      </c>
      <c r="F34" s="41">
        <v>90000000</v>
      </c>
      <c r="G34" s="42">
        <f>2.70938%*F34+1558</f>
        <v>2440000</v>
      </c>
      <c r="H34" s="42">
        <v>0</v>
      </c>
      <c r="I34" s="41">
        <f t="shared" si="0"/>
        <v>87560000</v>
      </c>
      <c r="J34" s="43"/>
    </row>
    <row r="35" spans="1:10" ht="45">
      <c r="A35" s="37">
        <v>4</v>
      </c>
      <c r="B35" s="38" t="s">
        <v>51</v>
      </c>
      <c r="C35" s="39" t="s">
        <v>50</v>
      </c>
      <c r="D35" s="40" t="s">
        <v>118</v>
      </c>
      <c r="E35" s="40" t="s">
        <v>117</v>
      </c>
      <c r="F35" s="41">
        <v>100000000</v>
      </c>
      <c r="G35" s="42">
        <f>2.70938%*F35-9380</f>
        <v>2700000</v>
      </c>
      <c r="H35" s="42">
        <v>0</v>
      </c>
      <c r="I35" s="41">
        <f t="shared" si="0"/>
        <v>97300000</v>
      </c>
      <c r="J35" s="43"/>
    </row>
    <row r="36" spans="1:10" ht="60">
      <c r="A36" s="37">
        <v>5</v>
      </c>
      <c r="B36" s="38" t="s">
        <v>52</v>
      </c>
      <c r="C36" s="39" t="s">
        <v>53</v>
      </c>
      <c r="D36" s="40" t="s">
        <v>118</v>
      </c>
      <c r="E36" s="40" t="s">
        <v>117</v>
      </c>
      <c r="F36" s="41">
        <v>115000000</v>
      </c>
      <c r="G36" s="42">
        <f>2.70938%*F36-15787</f>
        <v>3099999.9999999995</v>
      </c>
      <c r="H36" s="42">
        <v>0</v>
      </c>
      <c r="I36" s="41">
        <f t="shared" si="0"/>
        <v>111900000</v>
      </c>
      <c r="J36" s="43"/>
    </row>
    <row r="37" spans="1:10" ht="60">
      <c r="A37" s="37">
        <v>6</v>
      </c>
      <c r="B37" s="38" t="s">
        <v>54</v>
      </c>
      <c r="C37" s="39" t="s">
        <v>55</v>
      </c>
      <c r="D37" s="40" t="s">
        <v>118</v>
      </c>
      <c r="E37" s="40" t="s">
        <v>117</v>
      </c>
      <c r="F37" s="41">
        <v>70000000</v>
      </c>
      <c r="G37" s="42">
        <f>2.70938%*F37+3434</f>
        <v>1899999.9999999998</v>
      </c>
      <c r="H37" s="42">
        <v>0</v>
      </c>
      <c r="I37" s="41">
        <f t="shared" si="0"/>
        <v>68100000</v>
      </c>
      <c r="J37" s="43"/>
    </row>
    <row r="38" spans="1:10" ht="60">
      <c r="A38" s="37">
        <v>7</v>
      </c>
      <c r="B38" s="38" t="s">
        <v>56</v>
      </c>
      <c r="C38" s="39" t="s">
        <v>57</v>
      </c>
      <c r="D38" s="40" t="s">
        <v>118</v>
      </c>
      <c r="E38" s="40" t="s">
        <v>117</v>
      </c>
      <c r="F38" s="41">
        <v>130000000</v>
      </c>
      <c r="G38" s="42">
        <f>2.70938%*F38-2194</f>
        <v>3519999.9999999995</v>
      </c>
      <c r="H38" s="42">
        <v>0</v>
      </c>
      <c r="I38" s="41">
        <f t="shared" si="0"/>
        <v>126480000</v>
      </c>
      <c r="J38" s="43"/>
    </row>
    <row r="39" spans="1:10" ht="90">
      <c r="A39" s="37">
        <v>8</v>
      </c>
      <c r="B39" s="38" t="s">
        <v>58</v>
      </c>
      <c r="C39" s="39" t="s">
        <v>59</v>
      </c>
      <c r="D39" s="40" t="s">
        <v>118</v>
      </c>
      <c r="E39" s="40" t="s">
        <v>117</v>
      </c>
      <c r="F39" s="41">
        <v>115000000</v>
      </c>
      <c r="G39" s="42">
        <f>2.70938%*F39-15787</f>
        <v>3099999.9999999995</v>
      </c>
      <c r="H39" s="42">
        <v>0</v>
      </c>
      <c r="I39" s="41">
        <f t="shared" si="0"/>
        <v>111900000</v>
      </c>
      <c r="J39" s="43"/>
    </row>
    <row r="40" spans="1:10" ht="45">
      <c r="A40" s="37">
        <v>9</v>
      </c>
      <c r="B40" s="38" t="s">
        <v>60</v>
      </c>
      <c r="C40" s="39" t="s">
        <v>61</v>
      </c>
      <c r="D40" s="40" t="s">
        <v>118</v>
      </c>
      <c r="E40" s="40" t="s">
        <v>117</v>
      </c>
      <c r="F40" s="41">
        <v>70000000</v>
      </c>
      <c r="G40" s="42">
        <f>2.70938%*F40+3434</f>
        <v>1899999.9999999998</v>
      </c>
      <c r="H40" s="42">
        <v>0</v>
      </c>
      <c r="I40" s="41">
        <f t="shared" si="0"/>
        <v>68100000</v>
      </c>
      <c r="J40" s="43"/>
    </row>
    <row r="41" spans="1:10" ht="75">
      <c r="A41" s="37">
        <v>10</v>
      </c>
      <c r="B41" s="38" t="s">
        <v>62</v>
      </c>
      <c r="C41" s="39" t="s">
        <v>63</v>
      </c>
      <c r="D41" s="40" t="s">
        <v>118</v>
      </c>
      <c r="E41" s="40" t="s">
        <v>117</v>
      </c>
      <c r="F41" s="41">
        <v>65000000</v>
      </c>
      <c r="G41" s="42">
        <f>2.70938%*F41-1097</f>
        <v>1759999.9999999998</v>
      </c>
      <c r="H41" s="42">
        <v>0</v>
      </c>
      <c r="I41" s="41">
        <f t="shared" si="0"/>
        <v>63240000</v>
      </c>
      <c r="J41" s="43"/>
    </row>
    <row r="42" spans="1:10" ht="60">
      <c r="A42" s="37">
        <v>11</v>
      </c>
      <c r="B42" s="38" t="s">
        <v>64</v>
      </c>
      <c r="C42" s="39" t="s">
        <v>65</v>
      </c>
      <c r="D42" s="40" t="s">
        <v>118</v>
      </c>
      <c r="E42" s="40" t="s">
        <v>117</v>
      </c>
      <c r="F42" s="41">
        <v>85000000</v>
      </c>
      <c r="G42" s="42">
        <f>2.70938%*F42-2973</f>
        <v>2300000</v>
      </c>
      <c r="H42" s="42">
        <v>0</v>
      </c>
      <c r="I42" s="41">
        <f t="shared" si="0"/>
        <v>82700000</v>
      </c>
      <c r="J42" s="43"/>
    </row>
    <row r="43" spans="1:10" ht="45">
      <c r="A43" s="37">
        <v>12</v>
      </c>
      <c r="B43" s="38" t="s">
        <v>66</v>
      </c>
      <c r="C43" s="39" t="s">
        <v>67</v>
      </c>
      <c r="D43" s="40" t="s">
        <v>118</v>
      </c>
      <c r="E43" s="40" t="s">
        <v>117</v>
      </c>
      <c r="F43" s="41">
        <v>85000000</v>
      </c>
      <c r="G43" s="42">
        <f>2.70938%*F43-2973</f>
        <v>2300000</v>
      </c>
      <c r="H43" s="42">
        <v>0</v>
      </c>
      <c r="I43" s="41">
        <f t="shared" si="0"/>
        <v>82700000</v>
      </c>
      <c r="J43" s="43"/>
    </row>
    <row r="44" spans="1:10" s="50" customFormat="1" ht="15">
      <c r="A44" s="44" t="s">
        <v>20</v>
      </c>
      <c r="B44" s="45" t="s">
        <v>68</v>
      </c>
      <c r="C44" s="51"/>
      <c r="D44" s="47"/>
      <c r="E44" s="47"/>
      <c r="F44" s="48">
        <f>SUM(F45:F55)</f>
        <v>685000000</v>
      </c>
      <c r="G44" s="48">
        <f>SUM(G45:G55)</f>
        <v>18570000</v>
      </c>
      <c r="H44" s="48">
        <f>SUM(H45:H55)</f>
        <v>0</v>
      </c>
      <c r="I44" s="48">
        <f>SUM(I45:I55)</f>
        <v>666430000</v>
      </c>
      <c r="J44" s="49"/>
    </row>
    <row r="45" spans="1:10" ht="45">
      <c r="A45" s="37">
        <v>1</v>
      </c>
      <c r="B45" s="38" t="s">
        <v>69</v>
      </c>
      <c r="C45" s="39" t="s">
        <v>70</v>
      </c>
      <c r="D45" s="40" t="s">
        <v>120</v>
      </c>
      <c r="E45" s="40" t="s">
        <v>125</v>
      </c>
      <c r="F45" s="41">
        <v>40000000</v>
      </c>
      <c r="G45" s="42">
        <f>2.70938%*F45-3752</f>
        <v>1080000</v>
      </c>
      <c r="H45" s="42">
        <v>0</v>
      </c>
      <c r="I45" s="41">
        <f aca="true" t="shared" si="1" ref="I45:I55">F45-G45</f>
        <v>38920000</v>
      </c>
      <c r="J45" s="43"/>
    </row>
    <row r="46" spans="1:10" ht="75">
      <c r="A46" s="37">
        <v>2</v>
      </c>
      <c r="B46" s="38" t="s">
        <v>71</v>
      </c>
      <c r="C46" s="39" t="s">
        <v>72</v>
      </c>
      <c r="D46" s="40" t="s">
        <v>120</v>
      </c>
      <c r="E46" s="40" t="s">
        <v>125</v>
      </c>
      <c r="F46" s="41">
        <v>40000000</v>
      </c>
      <c r="G46" s="42">
        <f>2.70938%*F46-3752</f>
        <v>1080000</v>
      </c>
      <c r="H46" s="42">
        <v>0</v>
      </c>
      <c r="I46" s="41">
        <f t="shared" si="1"/>
        <v>38920000</v>
      </c>
      <c r="J46" s="43"/>
    </row>
    <row r="47" spans="1:10" ht="60">
      <c r="A47" s="37">
        <v>3</v>
      </c>
      <c r="B47" s="38" t="s">
        <v>73</v>
      </c>
      <c r="C47" s="39" t="s">
        <v>74</v>
      </c>
      <c r="D47" s="40" t="s">
        <v>120</v>
      </c>
      <c r="E47" s="40" t="s">
        <v>125</v>
      </c>
      <c r="F47" s="41">
        <v>50000000</v>
      </c>
      <c r="G47" s="42">
        <f>2.70938%*F47-4690</f>
        <v>1350000</v>
      </c>
      <c r="H47" s="42">
        <v>0</v>
      </c>
      <c r="I47" s="41">
        <f t="shared" si="1"/>
        <v>48650000</v>
      </c>
      <c r="J47" s="43"/>
    </row>
    <row r="48" spans="1:10" ht="60">
      <c r="A48" s="37">
        <v>4</v>
      </c>
      <c r="B48" s="38" t="s">
        <v>75</v>
      </c>
      <c r="C48" s="39" t="s">
        <v>76</v>
      </c>
      <c r="D48" s="40" t="s">
        <v>120</v>
      </c>
      <c r="E48" s="40" t="s">
        <v>125</v>
      </c>
      <c r="F48" s="41">
        <v>70000000</v>
      </c>
      <c r="G48" s="42">
        <f aca="true" t="shared" si="2" ref="G48:G54">2.70938%*F48+3434</f>
        <v>1899999.9999999998</v>
      </c>
      <c r="H48" s="42">
        <v>0</v>
      </c>
      <c r="I48" s="41">
        <f t="shared" si="1"/>
        <v>68100000</v>
      </c>
      <c r="J48" s="43"/>
    </row>
    <row r="49" spans="1:10" ht="60">
      <c r="A49" s="37">
        <v>5</v>
      </c>
      <c r="B49" s="38" t="s">
        <v>77</v>
      </c>
      <c r="C49" s="39" t="s">
        <v>78</v>
      </c>
      <c r="D49" s="40" t="s">
        <v>120</v>
      </c>
      <c r="E49" s="40" t="s">
        <v>125</v>
      </c>
      <c r="F49" s="41">
        <v>70000000</v>
      </c>
      <c r="G49" s="42">
        <f t="shared" si="2"/>
        <v>1899999.9999999998</v>
      </c>
      <c r="H49" s="42">
        <v>0</v>
      </c>
      <c r="I49" s="41">
        <f t="shared" si="1"/>
        <v>68100000</v>
      </c>
      <c r="J49" s="43"/>
    </row>
    <row r="50" spans="1:10" ht="30">
      <c r="A50" s="37">
        <v>6</v>
      </c>
      <c r="B50" s="38" t="s">
        <v>79</v>
      </c>
      <c r="C50" s="39" t="s">
        <v>80</v>
      </c>
      <c r="D50" s="40" t="s">
        <v>120</v>
      </c>
      <c r="E50" s="40" t="s">
        <v>125</v>
      </c>
      <c r="F50" s="41">
        <v>70000000</v>
      </c>
      <c r="G50" s="42">
        <f t="shared" si="2"/>
        <v>1899999.9999999998</v>
      </c>
      <c r="H50" s="42">
        <v>0</v>
      </c>
      <c r="I50" s="41">
        <f t="shared" si="1"/>
        <v>68100000</v>
      </c>
      <c r="J50" s="43"/>
    </row>
    <row r="51" spans="1:10" ht="60">
      <c r="A51" s="37">
        <v>7</v>
      </c>
      <c r="B51" s="38" t="s">
        <v>81</v>
      </c>
      <c r="C51" s="39" t="s">
        <v>82</v>
      </c>
      <c r="D51" s="40" t="s">
        <v>120</v>
      </c>
      <c r="E51" s="40" t="s">
        <v>125</v>
      </c>
      <c r="F51" s="41">
        <v>70000000</v>
      </c>
      <c r="G51" s="42">
        <f t="shared" si="2"/>
        <v>1899999.9999999998</v>
      </c>
      <c r="H51" s="42">
        <v>0</v>
      </c>
      <c r="I51" s="41">
        <f t="shared" si="1"/>
        <v>68100000</v>
      </c>
      <c r="J51" s="43"/>
    </row>
    <row r="52" spans="1:10" ht="30">
      <c r="A52" s="37">
        <v>8</v>
      </c>
      <c r="B52" s="38" t="s">
        <v>83</v>
      </c>
      <c r="C52" s="39" t="s">
        <v>84</v>
      </c>
      <c r="D52" s="40" t="s">
        <v>120</v>
      </c>
      <c r="E52" s="40" t="s">
        <v>125</v>
      </c>
      <c r="F52" s="41">
        <v>70000000</v>
      </c>
      <c r="G52" s="42">
        <f t="shared" si="2"/>
        <v>1899999.9999999998</v>
      </c>
      <c r="H52" s="42">
        <v>0</v>
      </c>
      <c r="I52" s="41">
        <f t="shared" si="1"/>
        <v>68100000</v>
      </c>
      <c r="J52" s="43"/>
    </row>
    <row r="53" spans="1:10" ht="60">
      <c r="A53" s="37">
        <v>9</v>
      </c>
      <c r="B53" s="38" t="s">
        <v>85</v>
      </c>
      <c r="C53" s="39" t="s">
        <v>86</v>
      </c>
      <c r="D53" s="40" t="s">
        <v>120</v>
      </c>
      <c r="E53" s="40" t="s">
        <v>125</v>
      </c>
      <c r="F53" s="41">
        <v>70000000</v>
      </c>
      <c r="G53" s="42">
        <f t="shared" si="2"/>
        <v>1899999.9999999998</v>
      </c>
      <c r="H53" s="42">
        <v>0</v>
      </c>
      <c r="I53" s="41">
        <f t="shared" si="1"/>
        <v>68100000</v>
      </c>
      <c r="J53" s="43"/>
    </row>
    <row r="54" spans="1:10" ht="60">
      <c r="A54" s="37">
        <v>10</v>
      </c>
      <c r="B54" s="38" t="s">
        <v>87</v>
      </c>
      <c r="C54" s="39" t="s">
        <v>88</v>
      </c>
      <c r="D54" s="40" t="s">
        <v>120</v>
      </c>
      <c r="E54" s="40" t="s">
        <v>125</v>
      </c>
      <c r="F54" s="41">
        <v>70000000</v>
      </c>
      <c r="G54" s="42">
        <f t="shared" si="2"/>
        <v>1899999.9999999998</v>
      </c>
      <c r="H54" s="42">
        <v>0</v>
      </c>
      <c r="I54" s="41">
        <f t="shared" si="1"/>
        <v>68100000</v>
      </c>
      <c r="J54" s="43"/>
    </row>
    <row r="55" spans="1:10" ht="60">
      <c r="A55" s="37">
        <v>11</v>
      </c>
      <c r="B55" s="38" t="s">
        <v>89</v>
      </c>
      <c r="C55" s="39" t="s">
        <v>90</v>
      </c>
      <c r="D55" s="40" t="s">
        <v>120</v>
      </c>
      <c r="E55" s="40" t="s">
        <v>125</v>
      </c>
      <c r="F55" s="41">
        <v>65000000</v>
      </c>
      <c r="G55" s="42">
        <f>2.70938%*F55-1097</f>
        <v>1759999.9999999998</v>
      </c>
      <c r="H55" s="42">
        <v>0</v>
      </c>
      <c r="I55" s="41">
        <f t="shared" si="1"/>
        <v>63240000</v>
      </c>
      <c r="J55" s="43"/>
    </row>
    <row r="56" spans="1:10" s="50" customFormat="1" ht="15">
      <c r="A56" s="44" t="s">
        <v>147</v>
      </c>
      <c r="B56" s="45" t="s">
        <v>91</v>
      </c>
      <c r="C56" s="46"/>
      <c r="D56" s="47"/>
      <c r="E56" s="47"/>
      <c r="F56" s="48">
        <f>SUM(F57:F57)</f>
        <v>90000000</v>
      </c>
      <c r="G56" s="48">
        <f>SUM(G57:G57)</f>
        <v>2440000</v>
      </c>
      <c r="H56" s="48">
        <f>SUM(H57:H57)</f>
        <v>0</v>
      </c>
      <c r="I56" s="48">
        <f>SUM(I57:I57)</f>
        <v>87560000</v>
      </c>
      <c r="J56" s="49"/>
    </row>
    <row r="57" spans="1:10" ht="60">
      <c r="A57" s="37">
        <v>1</v>
      </c>
      <c r="B57" s="38" t="s">
        <v>132</v>
      </c>
      <c r="C57" s="61" t="s">
        <v>92</v>
      </c>
      <c r="D57" s="40" t="s">
        <v>128</v>
      </c>
      <c r="E57" s="40" t="s">
        <v>129</v>
      </c>
      <c r="F57" s="41">
        <v>90000000</v>
      </c>
      <c r="G57" s="42">
        <f>2.70938%*F57+1558</f>
        <v>2440000</v>
      </c>
      <c r="H57" s="42">
        <v>0</v>
      </c>
      <c r="I57" s="41">
        <f>F57-G57</f>
        <v>87560000</v>
      </c>
      <c r="J57" s="43"/>
    </row>
    <row r="58" spans="1:10" s="50" customFormat="1" ht="28.5">
      <c r="A58" s="44" t="s">
        <v>106</v>
      </c>
      <c r="B58" s="45" t="s">
        <v>93</v>
      </c>
      <c r="C58" s="46"/>
      <c r="D58" s="47"/>
      <c r="E58" s="47"/>
      <c r="F58" s="48">
        <f>F59+F64</f>
        <v>1455000000</v>
      </c>
      <c r="G58" s="48">
        <f>G59+G64</f>
        <v>39420000</v>
      </c>
      <c r="H58" s="48">
        <f>H59+H64</f>
        <v>0</v>
      </c>
      <c r="I58" s="48">
        <f>I59+I64</f>
        <v>1415580000</v>
      </c>
      <c r="J58" s="62"/>
    </row>
    <row r="59" spans="1:10" s="50" customFormat="1" ht="15">
      <c r="A59" s="44" t="s">
        <v>148</v>
      </c>
      <c r="B59" s="45" t="s">
        <v>94</v>
      </c>
      <c r="C59" s="46"/>
      <c r="D59" s="47"/>
      <c r="E59" s="47"/>
      <c r="F59" s="48">
        <f>SUM(F60:F63)</f>
        <v>1370000000</v>
      </c>
      <c r="G59" s="48">
        <f>SUM(G60:G63)</f>
        <v>37120000</v>
      </c>
      <c r="H59" s="48">
        <f>SUM(H60:H63)</f>
        <v>0</v>
      </c>
      <c r="I59" s="48">
        <f>SUM(I60:I63)</f>
        <v>1332880000</v>
      </c>
      <c r="J59" s="62"/>
    </row>
    <row r="60" spans="1:10" ht="75">
      <c r="A60" s="37">
        <v>1</v>
      </c>
      <c r="B60" s="38" t="s">
        <v>95</v>
      </c>
      <c r="C60" s="39" t="s">
        <v>96</v>
      </c>
      <c r="D60" s="40" t="s">
        <v>118</v>
      </c>
      <c r="E60" s="40" t="s">
        <v>117</v>
      </c>
      <c r="F60" s="41">
        <v>420000000</v>
      </c>
      <c r="G60" s="42">
        <f>2.70938%*F60+604</f>
        <v>11379999.999999998</v>
      </c>
      <c r="H60" s="42">
        <v>0</v>
      </c>
      <c r="I60" s="41">
        <f>F60-G60</f>
        <v>408620000</v>
      </c>
      <c r="J60" s="43"/>
    </row>
    <row r="61" spans="1:10" ht="45">
      <c r="A61" s="37">
        <v>2</v>
      </c>
      <c r="B61" s="38" t="s">
        <v>97</v>
      </c>
      <c r="C61" s="39" t="s">
        <v>98</v>
      </c>
      <c r="D61" s="40" t="s">
        <v>118</v>
      </c>
      <c r="E61" s="40" t="s">
        <v>117</v>
      </c>
      <c r="F61" s="41">
        <v>400000000</v>
      </c>
      <c r="G61" s="42">
        <f>2.70938%*F61+2480</f>
        <v>10840000</v>
      </c>
      <c r="H61" s="42">
        <v>0</v>
      </c>
      <c r="I61" s="41">
        <f>F61-G61</f>
        <v>389160000</v>
      </c>
      <c r="J61" s="43"/>
    </row>
    <row r="62" spans="1:10" ht="75">
      <c r="A62" s="37">
        <v>3</v>
      </c>
      <c r="B62" s="38" t="s">
        <v>99</v>
      </c>
      <c r="C62" s="39" t="s">
        <v>100</v>
      </c>
      <c r="D62" s="40" t="s">
        <v>130</v>
      </c>
      <c r="E62" s="40" t="s">
        <v>131</v>
      </c>
      <c r="F62" s="41">
        <v>300000000</v>
      </c>
      <c r="G62" s="42">
        <f>2.70938%*F62+1816+44</f>
        <v>8129999.999999999</v>
      </c>
      <c r="H62" s="42">
        <v>0</v>
      </c>
      <c r="I62" s="41">
        <f>F62-G62</f>
        <v>291870000</v>
      </c>
      <c r="J62" s="43"/>
    </row>
    <row r="63" spans="1:10" ht="45">
      <c r="A63" s="37">
        <v>4</v>
      </c>
      <c r="B63" s="38" t="s">
        <v>101</v>
      </c>
      <c r="C63" s="39" t="s">
        <v>102</v>
      </c>
      <c r="D63" s="40" t="s">
        <v>118</v>
      </c>
      <c r="E63" s="40" t="s">
        <v>117</v>
      </c>
      <c r="F63" s="41">
        <v>250000000</v>
      </c>
      <c r="G63" s="42">
        <f>2.70938%*F63-3450</f>
        <v>6769999.999999999</v>
      </c>
      <c r="H63" s="42">
        <v>0</v>
      </c>
      <c r="I63" s="41">
        <f>F63-G63</f>
        <v>243230000</v>
      </c>
      <c r="J63" s="61"/>
    </row>
    <row r="64" spans="1:10" s="50" customFormat="1" ht="15">
      <c r="A64" s="44" t="s">
        <v>149</v>
      </c>
      <c r="B64" s="45" t="s">
        <v>103</v>
      </c>
      <c r="C64" s="46"/>
      <c r="D64" s="60" t="s">
        <v>126</v>
      </c>
      <c r="E64" s="60" t="s">
        <v>126</v>
      </c>
      <c r="F64" s="48">
        <f>F65</f>
        <v>85000000</v>
      </c>
      <c r="G64" s="48">
        <f>G65</f>
        <v>2300000</v>
      </c>
      <c r="H64" s="48">
        <f>H65</f>
        <v>0</v>
      </c>
      <c r="I64" s="48">
        <f>I65</f>
        <v>82700000</v>
      </c>
      <c r="J64" s="60"/>
    </row>
    <row r="65" spans="1:10" ht="60">
      <c r="A65" s="37">
        <v>1</v>
      </c>
      <c r="B65" s="38" t="s">
        <v>104</v>
      </c>
      <c r="C65" s="39" t="s">
        <v>105</v>
      </c>
      <c r="D65" s="40" t="s">
        <v>120</v>
      </c>
      <c r="E65" s="40" t="s">
        <v>125</v>
      </c>
      <c r="F65" s="41">
        <v>85000000</v>
      </c>
      <c r="G65" s="42">
        <f>2.70938%*F65-2973</f>
        <v>2300000</v>
      </c>
      <c r="H65" s="42">
        <v>0</v>
      </c>
      <c r="I65" s="41">
        <f>F65-G65</f>
        <v>82700000</v>
      </c>
      <c r="J65" s="61"/>
    </row>
    <row r="66" spans="1:10" s="50" customFormat="1" ht="28.5">
      <c r="A66" s="44" t="s">
        <v>158</v>
      </c>
      <c r="B66" s="45" t="s">
        <v>107</v>
      </c>
      <c r="C66" s="46"/>
      <c r="D66" s="47" t="s">
        <v>126</v>
      </c>
      <c r="E66" s="47" t="s">
        <v>126</v>
      </c>
      <c r="F66" s="48">
        <f>SUM(F67:F70)</f>
        <v>1260000000</v>
      </c>
      <c r="G66" s="48">
        <f>SUM(G67:G70)</f>
        <v>34120000</v>
      </c>
      <c r="H66" s="48">
        <f>SUM(H67:H70)</f>
        <v>0</v>
      </c>
      <c r="I66" s="48">
        <f>SUM(I67:I70)</f>
        <v>1225880000</v>
      </c>
      <c r="J66" s="62"/>
    </row>
    <row r="67" spans="1:10" ht="60">
      <c r="A67" s="37">
        <v>1</v>
      </c>
      <c r="B67" s="38" t="s">
        <v>108</v>
      </c>
      <c r="C67" s="61" t="s">
        <v>109</v>
      </c>
      <c r="D67" s="40" t="s">
        <v>118</v>
      </c>
      <c r="E67" s="40" t="s">
        <v>127</v>
      </c>
      <c r="F67" s="41">
        <v>315000000</v>
      </c>
      <c r="G67" s="42">
        <f>2.70938%*F67-4547</f>
        <v>8530000</v>
      </c>
      <c r="H67" s="42">
        <v>0</v>
      </c>
      <c r="I67" s="41">
        <f>F67-G67</f>
        <v>306470000</v>
      </c>
      <c r="J67" s="43"/>
    </row>
    <row r="68" spans="1:10" ht="30">
      <c r="A68" s="37">
        <v>2</v>
      </c>
      <c r="B68" s="38" t="s">
        <v>110</v>
      </c>
      <c r="C68" s="61" t="s">
        <v>111</v>
      </c>
      <c r="D68" s="40" t="s">
        <v>118</v>
      </c>
      <c r="E68" s="40" t="s">
        <v>127</v>
      </c>
      <c r="F68" s="85">
        <v>315000000</v>
      </c>
      <c r="G68" s="42">
        <f>2.70938%*F68-4547</f>
        <v>8530000</v>
      </c>
      <c r="H68" s="42">
        <v>0</v>
      </c>
      <c r="I68" s="41">
        <f>F68-G68</f>
        <v>306470000</v>
      </c>
      <c r="J68" s="61"/>
    </row>
    <row r="69" spans="1:10" ht="45">
      <c r="A69" s="37">
        <v>3</v>
      </c>
      <c r="B69" s="38" t="s">
        <v>112</v>
      </c>
      <c r="C69" s="61" t="s">
        <v>113</v>
      </c>
      <c r="D69" s="40" t="s">
        <v>118</v>
      </c>
      <c r="E69" s="40" t="s">
        <v>127</v>
      </c>
      <c r="F69" s="41">
        <v>315000000</v>
      </c>
      <c r="G69" s="42">
        <f>2.70938%*F69-4547</f>
        <v>8530000</v>
      </c>
      <c r="H69" s="42">
        <v>0</v>
      </c>
      <c r="I69" s="41">
        <f>F69-G69</f>
        <v>306470000</v>
      </c>
      <c r="J69" s="61"/>
    </row>
    <row r="70" spans="1:14" ht="45">
      <c r="A70" s="37">
        <v>4</v>
      </c>
      <c r="B70" s="38" t="s">
        <v>114</v>
      </c>
      <c r="C70" s="61" t="s">
        <v>115</v>
      </c>
      <c r="D70" s="40" t="s">
        <v>118</v>
      </c>
      <c r="E70" s="40" t="s">
        <v>127</v>
      </c>
      <c r="F70" s="41">
        <v>315000000</v>
      </c>
      <c r="G70" s="42">
        <f>2.70938%*F70-4547</f>
        <v>8530000</v>
      </c>
      <c r="H70" s="42">
        <v>0</v>
      </c>
      <c r="I70" s="41">
        <f>F70-G70</f>
        <v>306470000</v>
      </c>
      <c r="J70" s="43"/>
      <c r="N70" s="59"/>
    </row>
    <row r="71" spans="1:12" s="64" customFormat="1" ht="28.5">
      <c r="A71" s="25" t="s">
        <v>133</v>
      </c>
      <c r="B71" s="26" t="s">
        <v>134</v>
      </c>
      <c r="C71" s="27"/>
      <c r="D71" s="27"/>
      <c r="E71" s="27"/>
      <c r="F71" s="29">
        <f>SUM(F72,F73,F76,F77,F82)</f>
        <v>1141000000</v>
      </c>
      <c r="G71" s="29">
        <f>SUM(G72,G73,G76,G77,G82)</f>
        <v>24989999.8</v>
      </c>
      <c r="H71" s="29">
        <f>SUM(H72,H73,H76,H77,H82)</f>
        <v>0</v>
      </c>
      <c r="I71" s="29">
        <f>SUM(I72,I73,I76,I77,I82)</f>
        <v>1116010000.2</v>
      </c>
      <c r="J71" s="63"/>
      <c r="L71" s="65"/>
    </row>
    <row r="72" spans="1:10" s="64" customFormat="1" ht="30">
      <c r="A72" s="66">
        <v>1</v>
      </c>
      <c r="B72" s="38" t="s">
        <v>150</v>
      </c>
      <c r="C72" s="67"/>
      <c r="D72" s="68">
        <v>2013</v>
      </c>
      <c r="E72" s="68">
        <v>2013</v>
      </c>
      <c r="F72" s="69">
        <v>65000000</v>
      </c>
      <c r="G72" s="42">
        <f>2.70938%*F72-1097</f>
        <v>1759999.9999999998</v>
      </c>
      <c r="H72" s="42">
        <v>0</v>
      </c>
      <c r="I72" s="41">
        <f>F72-G72</f>
        <v>63240000</v>
      </c>
      <c r="J72" s="67"/>
    </row>
    <row r="73" spans="1:10" s="64" customFormat="1" ht="15">
      <c r="A73" s="66">
        <v>2</v>
      </c>
      <c r="B73" s="38" t="s">
        <v>135</v>
      </c>
      <c r="C73" s="67"/>
      <c r="D73" s="68">
        <v>2013</v>
      </c>
      <c r="E73" s="68">
        <v>2013</v>
      </c>
      <c r="F73" s="69">
        <f>F74+F75</f>
        <v>580000000</v>
      </c>
      <c r="G73" s="42">
        <f>G74+G75</f>
        <v>15720000</v>
      </c>
      <c r="H73" s="42">
        <v>0</v>
      </c>
      <c r="I73" s="69">
        <f>I74+I75</f>
        <v>564280000</v>
      </c>
      <c r="J73" s="67"/>
    </row>
    <row r="74" spans="1:10" s="64" customFormat="1" ht="30">
      <c r="A74" s="66"/>
      <c r="B74" s="38" t="s">
        <v>166</v>
      </c>
      <c r="C74" s="67"/>
      <c r="D74" s="68">
        <v>2013</v>
      </c>
      <c r="E74" s="68">
        <v>2013</v>
      </c>
      <c r="F74" s="69">
        <v>270000000</v>
      </c>
      <c r="G74" s="42">
        <f>2.70938%*F74+4674</f>
        <v>7319999.999999999</v>
      </c>
      <c r="H74" s="42">
        <v>0</v>
      </c>
      <c r="I74" s="41">
        <f>F74-G74</f>
        <v>262680000</v>
      </c>
      <c r="J74" s="67"/>
    </row>
    <row r="75" spans="1:11" s="64" customFormat="1" ht="30">
      <c r="A75" s="66"/>
      <c r="B75" s="38" t="s">
        <v>167</v>
      </c>
      <c r="C75" s="67"/>
      <c r="D75" s="68">
        <v>2013</v>
      </c>
      <c r="E75" s="68">
        <v>2013</v>
      </c>
      <c r="F75" s="69">
        <v>310000000</v>
      </c>
      <c r="G75" s="42">
        <f>2.70938%*F75+922</f>
        <v>8400000</v>
      </c>
      <c r="H75" s="42">
        <v>0</v>
      </c>
      <c r="I75" s="41">
        <f>F75-G75</f>
        <v>301600000</v>
      </c>
      <c r="J75" s="67"/>
      <c r="K75" s="65"/>
    </row>
    <row r="76" spans="1:15" s="64" customFormat="1" ht="15">
      <c r="A76" s="66">
        <v>3</v>
      </c>
      <c r="B76" s="38" t="s">
        <v>136</v>
      </c>
      <c r="C76" s="67"/>
      <c r="D76" s="68">
        <v>2013</v>
      </c>
      <c r="E76" s="68">
        <v>2013</v>
      </c>
      <c r="F76" s="69">
        <v>220000000</v>
      </c>
      <c r="G76" s="42"/>
      <c r="H76" s="42">
        <v>0</v>
      </c>
      <c r="I76" s="41">
        <f>F76-G76</f>
        <v>220000000</v>
      </c>
      <c r="J76" s="67"/>
      <c r="O76" s="65"/>
    </row>
    <row r="77" spans="1:13" s="64" customFormat="1" ht="15">
      <c r="A77" s="66">
        <v>4</v>
      </c>
      <c r="B77" s="38" t="s">
        <v>137</v>
      </c>
      <c r="C77" s="67"/>
      <c r="D77" s="68">
        <v>2013</v>
      </c>
      <c r="E77" s="68">
        <v>2013</v>
      </c>
      <c r="F77" s="69">
        <f>SUM(F78:F81)</f>
        <v>100000000</v>
      </c>
      <c r="G77" s="69">
        <f>SUM(G78:G81)</f>
        <v>2700000</v>
      </c>
      <c r="H77" s="69">
        <v>0</v>
      </c>
      <c r="I77" s="69">
        <f>SUM(I78:I81)</f>
        <v>97300000</v>
      </c>
      <c r="J77" s="67"/>
      <c r="K77" s="65"/>
      <c r="L77" s="65"/>
      <c r="M77" s="65"/>
    </row>
    <row r="78" spans="1:10" s="64" customFormat="1" ht="45">
      <c r="A78" s="66"/>
      <c r="B78" s="38" t="s">
        <v>151</v>
      </c>
      <c r="C78" s="67"/>
      <c r="D78" s="68">
        <v>2013</v>
      </c>
      <c r="E78" s="68">
        <v>2013</v>
      </c>
      <c r="F78" s="69">
        <v>20000000</v>
      </c>
      <c r="G78" s="42">
        <f>2.70938%*F78-1876</f>
        <v>540000</v>
      </c>
      <c r="H78" s="42">
        <v>0</v>
      </c>
      <c r="I78" s="41">
        <f>F78-G78</f>
        <v>19460000</v>
      </c>
      <c r="J78" s="67"/>
    </row>
    <row r="79" spans="1:10" s="64" customFormat="1" ht="45">
      <c r="A79" s="66"/>
      <c r="B79" s="38" t="s">
        <v>152</v>
      </c>
      <c r="C79" s="67"/>
      <c r="D79" s="68">
        <v>2013</v>
      </c>
      <c r="E79" s="68">
        <v>2013</v>
      </c>
      <c r="F79" s="69">
        <v>30000000</v>
      </c>
      <c r="G79" s="42">
        <f>2.70938%*F79-12814</f>
        <v>799999.9999999999</v>
      </c>
      <c r="H79" s="42">
        <v>0</v>
      </c>
      <c r="I79" s="41">
        <f>F79-G79</f>
        <v>29200000</v>
      </c>
      <c r="J79" s="67"/>
    </row>
    <row r="80" spans="1:10" s="64" customFormat="1" ht="45">
      <c r="A80" s="66"/>
      <c r="B80" s="38" t="s">
        <v>153</v>
      </c>
      <c r="C80" s="67"/>
      <c r="D80" s="68">
        <v>2013</v>
      </c>
      <c r="E80" s="68">
        <v>2013</v>
      </c>
      <c r="F80" s="69">
        <v>50000000</v>
      </c>
      <c r="G80" s="42">
        <f>2.70938%*F80+5310</f>
        <v>1360000</v>
      </c>
      <c r="H80" s="42">
        <v>0</v>
      </c>
      <c r="I80" s="41">
        <f>F80-G80</f>
        <v>48640000</v>
      </c>
      <c r="J80" s="67"/>
    </row>
    <row r="81" spans="1:10" s="64" customFormat="1" ht="60">
      <c r="A81" s="66"/>
      <c r="B81" s="38" t="s">
        <v>154</v>
      </c>
      <c r="C81" s="67"/>
      <c r="D81" s="68">
        <v>2013</v>
      </c>
      <c r="E81" s="68">
        <v>2013</v>
      </c>
      <c r="F81" s="69">
        <v>0</v>
      </c>
      <c r="G81" s="42">
        <f>2.70938%*F81</f>
        <v>0</v>
      </c>
      <c r="H81" s="42">
        <v>0</v>
      </c>
      <c r="I81" s="41">
        <f>F81-G81</f>
        <v>0</v>
      </c>
      <c r="J81" s="67"/>
    </row>
    <row r="82" spans="1:10" s="64" customFormat="1" ht="15">
      <c r="A82" s="66">
        <v>5</v>
      </c>
      <c r="B82" s="38" t="s">
        <v>138</v>
      </c>
      <c r="C82" s="67"/>
      <c r="D82" s="68">
        <v>2013</v>
      </c>
      <c r="E82" s="68">
        <v>2013</v>
      </c>
      <c r="F82" s="69">
        <f>SUM(F83:F86)</f>
        <v>176000000</v>
      </c>
      <c r="G82" s="42">
        <f>SUM(G83:G86)</f>
        <v>4809999.8</v>
      </c>
      <c r="H82" s="42">
        <v>0</v>
      </c>
      <c r="I82" s="69">
        <f>SUM(I83:I86)</f>
        <v>171190000.2</v>
      </c>
      <c r="J82" s="67"/>
    </row>
    <row r="83" spans="1:10" s="64" customFormat="1" ht="45">
      <c r="A83" s="66"/>
      <c r="B83" s="38" t="s">
        <v>139</v>
      </c>
      <c r="C83" s="67"/>
      <c r="D83" s="68">
        <v>2013</v>
      </c>
      <c r="E83" s="68">
        <v>2013</v>
      </c>
      <c r="F83" s="69">
        <v>40000000</v>
      </c>
      <c r="G83" s="42">
        <f>2.70938%*F83-3752</f>
        <v>1080000</v>
      </c>
      <c r="H83" s="42">
        <v>0</v>
      </c>
      <c r="I83" s="41">
        <f>F83-G83</f>
        <v>38920000</v>
      </c>
      <c r="J83" s="67"/>
    </row>
    <row r="84" spans="1:10" s="64" customFormat="1" ht="75">
      <c r="A84" s="66"/>
      <c r="B84" s="38" t="s">
        <v>140</v>
      </c>
      <c r="C84" s="67"/>
      <c r="D84" s="68">
        <v>2013</v>
      </c>
      <c r="E84" s="68">
        <v>2013</v>
      </c>
      <c r="F84" s="69">
        <v>30000000</v>
      </c>
      <c r="G84" s="42">
        <f>2.70938%*F84-12814</f>
        <v>799999.9999999999</v>
      </c>
      <c r="H84" s="42">
        <v>0</v>
      </c>
      <c r="I84" s="41">
        <f>F84-G84</f>
        <v>29200000</v>
      </c>
      <c r="J84" s="67"/>
    </row>
    <row r="85" spans="1:10" s="64" customFormat="1" ht="30">
      <c r="A85" s="66"/>
      <c r="B85" s="38" t="s">
        <v>141</v>
      </c>
      <c r="C85" s="67"/>
      <c r="D85" s="68">
        <v>2013</v>
      </c>
      <c r="E85" s="68">
        <v>2013</v>
      </c>
      <c r="F85" s="69">
        <v>20000000</v>
      </c>
      <c r="G85" s="42">
        <f>2.70938%*F85-1876</f>
        <v>540000</v>
      </c>
      <c r="H85" s="42">
        <v>0</v>
      </c>
      <c r="I85" s="41">
        <f>F85-G85</f>
        <v>19460000</v>
      </c>
      <c r="J85" s="67"/>
    </row>
    <row r="86" spans="1:10" s="64" customFormat="1" ht="90">
      <c r="A86" s="66"/>
      <c r="B86" s="38" t="s">
        <v>142</v>
      </c>
      <c r="C86" s="67"/>
      <c r="D86" s="68">
        <v>2013</v>
      </c>
      <c r="E86" s="68">
        <v>2013</v>
      </c>
      <c r="F86" s="69">
        <v>86000000</v>
      </c>
      <c r="G86" s="42">
        <f>2.70938%*F86-67+60000</f>
        <v>2389999.8</v>
      </c>
      <c r="H86" s="42">
        <v>0</v>
      </c>
      <c r="I86" s="41">
        <f>F86-G86</f>
        <v>83610000.2</v>
      </c>
      <c r="J86" s="67"/>
    </row>
    <row r="87" spans="1:10" s="64" customFormat="1" ht="28.5">
      <c r="A87" s="90" t="s">
        <v>16</v>
      </c>
      <c r="B87" s="32" t="s">
        <v>164</v>
      </c>
      <c r="C87" s="36"/>
      <c r="D87" s="91"/>
      <c r="E87" s="91"/>
      <c r="F87" s="71">
        <v>6000000000</v>
      </c>
      <c r="G87" s="92">
        <v>0</v>
      </c>
      <c r="H87" s="92">
        <v>0</v>
      </c>
      <c r="I87" s="35">
        <f>F87-G87-H87</f>
        <v>6000000000</v>
      </c>
      <c r="J87" s="36"/>
    </row>
    <row r="88" spans="1:13" s="64" customFormat="1" ht="15">
      <c r="A88" s="66"/>
      <c r="B88" s="32" t="s">
        <v>165</v>
      </c>
      <c r="C88" s="67"/>
      <c r="D88" s="70"/>
      <c r="E88" s="70"/>
      <c r="F88" s="71">
        <f>F11+F87</f>
        <v>17551000000</v>
      </c>
      <c r="G88" s="71">
        <f>G11+G87</f>
        <v>306999999.8</v>
      </c>
      <c r="H88" s="71">
        <f>H11+H87</f>
        <v>0</v>
      </c>
      <c r="I88" s="71">
        <f>I11+I87</f>
        <v>17244000000.2</v>
      </c>
      <c r="J88" s="72"/>
      <c r="L88" s="65"/>
      <c r="M88" s="65"/>
    </row>
    <row r="89" spans="1:12" s="64" customFormat="1" ht="15">
      <c r="A89" s="1"/>
      <c r="B89" s="4"/>
      <c r="C89" s="73"/>
      <c r="D89" s="74"/>
      <c r="E89" s="74"/>
      <c r="F89" s="75"/>
      <c r="G89" s="86"/>
      <c r="H89" s="86"/>
      <c r="I89" s="75"/>
      <c r="J89" s="76"/>
      <c r="L89" s="65"/>
    </row>
    <row r="90" spans="1:10" s="64" customFormat="1" ht="15">
      <c r="A90" s="77"/>
      <c r="B90" s="78"/>
      <c r="D90" s="79"/>
      <c r="F90" s="80"/>
      <c r="G90" s="80" t="s">
        <v>159</v>
      </c>
      <c r="H90" s="80"/>
      <c r="I90" s="80"/>
      <c r="J90" s="80"/>
    </row>
    <row r="91" spans="1:10" s="64" customFormat="1" ht="15">
      <c r="A91" s="77"/>
      <c r="B91" s="78"/>
      <c r="D91" s="79"/>
      <c r="F91" s="81"/>
      <c r="G91" s="81" t="s">
        <v>146</v>
      </c>
      <c r="H91" s="81"/>
      <c r="I91" s="81"/>
      <c r="J91" s="81"/>
    </row>
    <row r="92" spans="1:9" s="64" customFormat="1" ht="15">
      <c r="A92" s="77"/>
      <c r="B92" s="78"/>
      <c r="D92" s="79"/>
      <c r="E92" s="79"/>
      <c r="F92" s="82"/>
      <c r="G92" s="83"/>
      <c r="H92" s="83"/>
      <c r="I92" s="82"/>
    </row>
    <row r="93" spans="1:9" s="64" customFormat="1" ht="15">
      <c r="A93" s="77"/>
      <c r="B93" s="78"/>
      <c r="D93" s="79"/>
      <c r="E93" s="79"/>
      <c r="F93" s="82"/>
      <c r="G93" s="83"/>
      <c r="H93" s="83"/>
      <c r="I93" s="82"/>
    </row>
    <row r="94" spans="1:11" s="64" customFormat="1" ht="15">
      <c r="A94" s="77"/>
      <c r="B94" s="78"/>
      <c r="D94" s="79"/>
      <c r="E94" s="79"/>
      <c r="F94" s="84"/>
      <c r="G94" s="83"/>
      <c r="H94" s="83"/>
      <c r="I94" s="84"/>
      <c r="K94" s="79"/>
    </row>
    <row r="95" spans="1:9" s="64" customFormat="1" ht="15">
      <c r="A95" s="77"/>
      <c r="B95" s="78"/>
      <c r="D95" s="79"/>
      <c r="E95" s="79"/>
      <c r="F95" s="82"/>
      <c r="G95" s="83"/>
      <c r="H95" s="83"/>
      <c r="I95" s="82"/>
    </row>
    <row r="96" spans="1:9" s="64" customFormat="1" ht="15">
      <c r="A96" s="77"/>
      <c r="B96" s="78"/>
      <c r="D96" s="79"/>
      <c r="E96" s="79"/>
      <c r="F96" s="82"/>
      <c r="G96" s="83"/>
      <c r="H96" s="83"/>
      <c r="I96" s="82"/>
    </row>
    <row r="97" spans="1:9" s="64" customFormat="1" ht="15">
      <c r="A97" s="77"/>
      <c r="B97" s="78"/>
      <c r="D97" s="79"/>
      <c r="E97" s="79"/>
      <c r="F97" s="82"/>
      <c r="G97" s="83"/>
      <c r="H97" s="83"/>
      <c r="I97" s="82"/>
    </row>
    <row r="98" spans="1:9" s="64" customFormat="1" ht="15">
      <c r="A98" s="77"/>
      <c r="B98" s="78"/>
      <c r="D98" s="79"/>
      <c r="E98" s="79"/>
      <c r="F98" s="82"/>
      <c r="G98" s="83"/>
      <c r="H98" s="83"/>
      <c r="I98" s="82"/>
    </row>
    <row r="99" spans="1:9" s="64" customFormat="1" ht="15">
      <c r="A99" s="77"/>
      <c r="B99" s="78"/>
      <c r="D99" s="79"/>
      <c r="E99" s="79"/>
      <c r="F99" s="82"/>
      <c r="G99" s="83"/>
      <c r="H99" s="83"/>
      <c r="I99" s="82"/>
    </row>
    <row r="100" spans="1:9" s="64" customFormat="1" ht="15">
      <c r="A100" s="77"/>
      <c r="B100" s="78"/>
      <c r="D100" s="79"/>
      <c r="E100" s="79"/>
      <c r="F100" s="82"/>
      <c r="G100" s="83"/>
      <c r="H100" s="83"/>
      <c r="I100" s="82"/>
    </row>
    <row r="101" spans="1:9" s="64" customFormat="1" ht="15">
      <c r="A101" s="77"/>
      <c r="B101" s="78"/>
      <c r="D101" s="79"/>
      <c r="E101" s="79"/>
      <c r="F101" s="82"/>
      <c r="G101" s="83"/>
      <c r="H101" s="83"/>
      <c r="I101" s="82"/>
    </row>
    <row r="102" spans="1:9" s="64" customFormat="1" ht="15">
      <c r="A102" s="77"/>
      <c r="B102" s="78"/>
      <c r="D102" s="79"/>
      <c r="E102" s="79"/>
      <c r="F102" s="82"/>
      <c r="G102" s="83"/>
      <c r="H102" s="83"/>
      <c r="I102" s="82"/>
    </row>
    <row r="103" spans="1:9" s="64" customFormat="1" ht="15">
      <c r="A103" s="77"/>
      <c r="B103" s="78"/>
      <c r="D103" s="79"/>
      <c r="E103" s="79"/>
      <c r="F103" s="82"/>
      <c r="G103" s="83"/>
      <c r="H103" s="83"/>
      <c r="I103" s="82"/>
    </row>
    <row r="104" spans="1:9" s="64" customFormat="1" ht="15">
      <c r="A104" s="77"/>
      <c r="B104" s="78"/>
      <c r="D104" s="79"/>
      <c r="E104" s="79"/>
      <c r="F104" s="82"/>
      <c r="G104" s="83"/>
      <c r="H104" s="83"/>
      <c r="I104" s="82"/>
    </row>
    <row r="105" spans="1:9" s="64" customFormat="1" ht="15">
      <c r="A105" s="77"/>
      <c r="B105" s="78"/>
      <c r="D105" s="79"/>
      <c r="E105" s="79"/>
      <c r="F105" s="82"/>
      <c r="G105" s="83"/>
      <c r="H105" s="83"/>
      <c r="I105" s="82"/>
    </row>
    <row r="106" spans="1:9" s="64" customFormat="1" ht="15">
      <c r="A106" s="77"/>
      <c r="B106" s="78"/>
      <c r="D106" s="79"/>
      <c r="E106" s="79"/>
      <c r="F106" s="82"/>
      <c r="G106" s="83"/>
      <c r="H106" s="83"/>
      <c r="I106" s="82"/>
    </row>
    <row r="107" spans="1:9" s="64" customFormat="1" ht="15">
      <c r="A107" s="77"/>
      <c r="B107" s="78"/>
      <c r="D107" s="79"/>
      <c r="E107" s="79"/>
      <c r="F107" s="82"/>
      <c r="G107" s="83"/>
      <c r="H107" s="83"/>
      <c r="I107" s="82"/>
    </row>
  </sheetData>
  <sheetProtection/>
  <mergeCells count="5">
    <mergeCell ref="F8:I8"/>
    <mergeCell ref="B8:B9"/>
    <mergeCell ref="A8:A9"/>
    <mergeCell ref="C8:C9"/>
    <mergeCell ref="D8:E8"/>
  </mergeCells>
  <printOptions/>
  <pageMargins left="0.5905511811023623" right="0.11811023622047245" top="0.1968503937007874" bottom="0.1968503937007874" header="0" footer="0.03937007874015748"/>
  <pageSetup horizontalDpi="600" verticalDpi="600" orientation="landscape" paperSize="9" r:id="rId1"/>
  <headerFooter alignWithMargins="0">
    <oddFooter>&amp;C&amp;"Times New Roman,Regular"&amp;12&amp;P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2013-11-07T03:05:26Z</cp:lastPrinted>
  <dcterms:created xsi:type="dcterms:W3CDTF">2013-05-20T07:33:02Z</dcterms:created>
  <dcterms:modified xsi:type="dcterms:W3CDTF">2013-11-12T08:08:48Z</dcterms:modified>
  <cp:category/>
  <cp:version/>
  <cp:contentType/>
  <cp:contentStatus/>
</cp:coreProperties>
</file>